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D:\DOCUMENTOS\Desktop\Sinia\"/>
    </mc:Choice>
  </mc:AlternateContent>
  <xr:revisionPtr revIDLastSave="0" documentId="13_ncr:1_{85BEC88C-DB60-4325-9792-88FA4557145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Plan1" sheetId="1" r:id="rId1"/>
  </sheets>
  <definedNames>
    <definedName name="_xlnm._FilterDatabase" localSheetId="0" hidden="1">Plan1!$A$2:$F$106</definedName>
    <definedName name="_xlnm.Print_Area" localSheetId="0">Plan1!$A$2:$H$191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M186" i="1" l="1"/>
  <c r="N186" i="1" s="1"/>
  <c r="M187" i="1"/>
  <c r="N187" i="1" s="1"/>
  <c r="M188" i="1"/>
  <c r="N188" i="1" s="1"/>
  <c r="M189" i="1"/>
  <c r="N189" i="1" s="1"/>
  <c r="M190" i="1"/>
  <c r="N190" i="1" s="1"/>
  <c r="M185" i="1"/>
  <c r="N185" i="1" s="1"/>
  <c r="M191" i="1"/>
  <c r="H190" i="1"/>
  <c r="H189" i="1"/>
  <c r="H188" i="1"/>
  <c r="H187" i="1"/>
  <c r="H186" i="1"/>
  <c r="H185" i="1"/>
  <c r="L175" i="1"/>
  <c r="N175" i="1" s="1"/>
  <c r="L176" i="1"/>
  <c r="N176" i="1" s="1"/>
  <c r="L177" i="1"/>
  <c r="N177" i="1" s="1"/>
  <c r="L178" i="1"/>
  <c r="N178" i="1" s="1"/>
  <c r="L174" i="1"/>
  <c r="N174" i="1" s="1"/>
  <c r="H178" i="1"/>
  <c r="H177" i="1"/>
  <c r="H176" i="1"/>
  <c r="H175" i="1"/>
  <c r="H174" i="1"/>
  <c r="F166" i="1"/>
  <c r="L168" i="1"/>
  <c r="H167" i="1"/>
  <c r="H168" i="1" s="1"/>
  <c r="L151" i="1"/>
  <c r="N151" i="1" s="1"/>
  <c r="L152" i="1"/>
  <c r="N152" i="1" s="1"/>
  <c r="L153" i="1"/>
  <c r="N153" i="1" s="1"/>
  <c r="L154" i="1"/>
  <c r="N154" i="1" s="1"/>
  <c r="L155" i="1"/>
  <c r="N155" i="1" s="1"/>
  <c r="L156" i="1"/>
  <c r="N156" i="1" s="1"/>
  <c r="L157" i="1"/>
  <c r="N157" i="1" s="1"/>
  <c r="L158" i="1"/>
  <c r="N158" i="1" s="1"/>
  <c r="L159" i="1"/>
  <c r="N159" i="1" s="1"/>
  <c r="L150" i="1"/>
  <c r="N150" i="1" s="1"/>
  <c r="H159" i="1"/>
  <c r="H158" i="1"/>
  <c r="H157" i="1"/>
  <c r="H156" i="1"/>
  <c r="H155" i="1"/>
  <c r="H154" i="1"/>
  <c r="H153" i="1"/>
  <c r="H152" i="1"/>
  <c r="H151" i="1"/>
  <c r="H150" i="1"/>
  <c r="H149" i="1"/>
  <c r="F142" i="1"/>
  <c r="O144" i="1"/>
  <c r="L142" i="1"/>
  <c r="M142" i="1" s="1"/>
  <c r="L141" i="1"/>
  <c r="M141" i="1" s="1"/>
  <c r="L140" i="1"/>
  <c r="M140" i="1" s="1"/>
  <c r="L139" i="1"/>
  <c r="M139" i="1" s="1"/>
  <c r="L138" i="1"/>
  <c r="M138" i="1" s="1"/>
  <c r="L137" i="1"/>
  <c r="M137" i="1" s="1"/>
  <c r="L136" i="1"/>
  <c r="M136" i="1" s="1"/>
  <c r="L135" i="1"/>
  <c r="M135" i="1" s="1"/>
  <c r="L134" i="1"/>
  <c r="M134" i="1" s="1"/>
  <c r="H132" i="1"/>
  <c r="H133" i="1"/>
  <c r="H134" i="1"/>
  <c r="H135" i="1"/>
  <c r="H136" i="1"/>
  <c r="H137" i="1"/>
  <c r="H138" i="1"/>
  <c r="H139" i="1"/>
  <c r="H140" i="1"/>
  <c r="H141" i="1"/>
  <c r="H125" i="1"/>
  <c r="H126" i="1" s="1"/>
  <c r="N126" i="1"/>
  <c r="L125" i="1" s="1"/>
  <c r="M125" i="1" s="1"/>
  <c r="H124" i="1"/>
  <c r="L118" i="1"/>
  <c r="H117" i="1"/>
  <c r="H116" i="1"/>
  <c r="L116" i="1" s="1"/>
  <c r="M116" i="1" s="1"/>
  <c r="H115" i="1"/>
  <c r="H114" i="1"/>
  <c r="F85" i="1"/>
  <c r="I85" i="1" s="1"/>
  <c r="K85" i="1"/>
  <c r="K86" i="1"/>
  <c r="I87" i="1"/>
  <c r="F86" i="1"/>
  <c r="I86" i="1" s="1"/>
  <c r="J80" i="1"/>
  <c r="F74" i="1"/>
  <c r="F71" i="1" s="1"/>
  <c r="J71" i="1" s="1"/>
  <c r="I73" i="1"/>
  <c r="I75" i="1"/>
  <c r="I76" i="1"/>
  <c r="I77" i="1"/>
  <c r="I78" i="1"/>
  <c r="I72" i="1"/>
  <c r="F69" i="1"/>
  <c r="F65" i="1" s="1"/>
  <c r="I65" i="1" s="1"/>
  <c r="F58" i="1"/>
  <c r="I58" i="1" s="1"/>
  <c r="F97" i="1"/>
  <c r="F96" i="1"/>
  <c r="I96" i="1" s="1"/>
  <c r="K96" i="1" s="1"/>
  <c r="F101" i="1"/>
  <c r="I101" i="1" s="1"/>
  <c r="F106" i="1"/>
  <c r="I106" i="1" s="1"/>
  <c r="F53" i="1"/>
  <c r="F47" i="1" s="1"/>
  <c r="I47" i="1" s="1"/>
  <c r="F41" i="1"/>
  <c r="I41" i="1" s="1"/>
  <c r="I40" i="1"/>
  <c r="I42" i="1"/>
  <c r="I43" i="1"/>
  <c r="I44" i="1"/>
  <c r="I45" i="1"/>
  <c r="I39" i="1"/>
  <c r="J38" i="1"/>
  <c r="J27" i="1"/>
  <c r="I29" i="1"/>
  <c r="J29" i="1" s="1"/>
  <c r="K29" i="1" s="1"/>
  <c r="I30" i="1"/>
  <c r="I28" i="1"/>
  <c r="F27" i="1"/>
  <c r="F36" i="1"/>
  <c r="F33" i="1"/>
  <c r="F25" i="1"/>
  <c r="J24" i="1" s="1"/>
  <c r="K21" i="1"/>
  <c r="K22" i="1" s="1"/>
  <c r="J22" i="1"/>
  <c r="I22" i="1"/>
  <c r="I20" i="1"/>
  <c r="F16" i="1"/>
  <c r="I17" i="1"/>
  <c r="K17" i="1" s="1"/>
  <c r="K18" i="1" s="1"/>
  <c r="I18" i="1"/>
  <c r="F14" i="1"/>
  <c r="F12" i="1" s="1"/>
  <c r="R3" i="1"/>
  <c r="R4" i="1"/>
  <c r="P3" i="1"/>
  <c r="J13" i="1"/>
  <c r="F9" i="1"/>
  <c r="F6" i="1"/>
  <c r="F3" i="1"/>
  <c r="P7" i="1"/>
  <c r="I13" i="1"/>
  <c r="H160" i="1" l="1"/>
  <c r="L160" i="1" s="1"/>
  <c r="N160" i="1" s="1"/>
  <c r="L149" i="1" s="1"/>
  <c r="N149" i="1" s="1"/>
  <c r="H191" i="1"/>
  <c r="N191" i="1" s="1"/>
  <c r="H179" i="1"/>
  <c r="M179" i="1" s="1"/>
  <c r="N179" i="1" s="1"/>
  <c r="H143" i="1"/>
  <c r="H118" i="1"/>
  <c r="F95" i="1"/>
  <c r="I95" i="1" s="1"/>
  <c r="F99" i="1"/>
  <c r="I99" i="1" s="1"/>
  <c r="F104" i="1"/>
  <c r="I104" i="1" s="1"/>
  <c r="J106" i="1" s="1"/>
  <c r="F80" i="1"/>
  <c r="N80" i="1" s="1"/>
  <c r="J41" i="1"/>
  <c r="F38" i="1"/>
  <c r="F55" i="1"/>
  <c r="I55" i="1" s="1"/>
  <c r="J58" i="1" s="1"/>
  <c r="I69" i="1"/>
  <c r="J69" i="1" s="1"/>
  <c r="I74" i="1"/>
  <c r="J74" i="1" s="1"/>
  <c r="J101" i="1"/>
  <c r="I71" i="1"/>
  <c r="I97" i="1"/>
  <c r="K97" i="1" s="1"/>
  <c r="I53" i="1"/>
  <c r="J53" i="1" s="1"/>
  <c r="J17" i="1"/>
  <c r="J14" i="1"/>
  <c r="K13" i="1" s="1"/>
  <c r="M143" i="1" l="1"/>
  <c r="N143" i="1" s="1"/>
  <c r="L133" i="1" s="1"/>
  <c r="M133" i="1" s="1"/>
  <c r="L144" i="1"/>
  <c r="J55" i="1"/>
  <c r="J96" i="1"/>
  <c r="I21" i="1" l="1"/>
  <c r="J21" i="1"/>
  <c r="F20" i="1"/>
  <c r="J20" i="1" s="1"/>
</calcChain>
</file>

<file path=xl/sharedStrings.xml><?xml version="1.0" encoding="utf-8"?>
<sst xmlns="http://schemas.openxmlformats.org/spreadsheetml/2006/main" count="738" uniqueCount="320">
  <si>
    <t/>
  </si>
  <si>
    <t>COMPOSIÇÃO</t>
  </si>
  <si>
    <t>CP-01</t>
  </si>
  <si>
    <t>BANHEIRO QUIMICO - BANHEIRO QUIMICO 110X120X230CM COM MANUTENCAO - BASEADO NA COMPOSIÇÃO SUDECAP 01.10.01</t>
  </si>
  <si>
    <t>MÊS</t>
  </si>
  <si>
    <t>FONTE</t>
  </si>
  <si>
    <t>CÓDIGO</t>
  </si>
  <si>
    <t>DESCRIÇÃO</t>
  </si>
  <si>
    <t>UNIDADE</t>
  </si>
  <si>
    <t>COEFIC.</t>
  </si>
  <si>
    <t>DESONERADO</t>
  </si>
  <si>
    <t>SUDECAP-I</t>
  </si>
  <si>
    <t>89.50.09</t>
  </si>
  <si>
    <t>BANHEIRO QUIMICO 2 MANUT. 2 ROLOS PAPEL HIGIENICO</t>
  </si>
  <si>
    <t>MES</t>
  </si>
  <si>
    <t>CP-02</t>
  </si>
  <si>
    <t>CONTAINER 6,0X2,30X2,82 M COM ISOLAMENTO TERMICO - MOBILIZAÇÃO DE CONTAINER - BASEADO NA COMPOSIÇÃO SUDECAP 01.09.01</t>
  </si>
  <si>
    <t xml:space="preserve">UN </t>
  </si>
  <si>
    <t>89.50.20</t>
  </si>
  <si>
    <t>MOBILIZAÇAO DE CONTAINER</t>
  </si>
  <si>
    <t>UN</t>
  </si>
  <si>
    <t>CP-03</t>
  </si>
  <si>
    <t>CONTAINER 6,0X2,30X2,82 M COM ISOLAMENTO TERMICO - DESMOBILIZACAO DE CONTAINER - BASEADO NA COMPOSIÇÃO SUDECAP 01.09.11</t>
  </si>
  <si>
    <t>89.50.21</t>
  </si>
  <si>
    <t>DESMOBILIZAÇÃO DE CONTAINER</t>
  </si>
  <si>
    <t>CP-04</t>
  </si>
  <si>
    <t>SINALIZAÇAO - CONE EM PVC H= 75 CM - BASEADO NA COMPOSIÇÃO SUDECAP 01.11.07</t>
  </si>
  <si>
    <t>55.10.88</t>
  </si>
  <si>
    <t>SERVENTE</t>
  </si>
  <si>
    <t>H</t>
  </si>
  <si>
    <t>84.20.02</t>
  </si>
  <si>
    <t>CONE DE SINALIZACAO EM PVC RIGIDO COM FAIXA REFLETIVA, H = 70 / 76 CM</t>
  </si>
  <si>
    <t>CP-05</t>
  </si>
  <si>
    <t>SINALIZAÇAO - PLACA 0,50X0,50M CH.GALV.22 CAVALETE METALON 20X20 - BASEADO NA COMPOSIÇÃO SUDECAP 01.11.04</t>
  </si>
  <si>
    <t>UNMES</t>
  </si>
  <si>
    <t>83.17.41</t>
  </si>
  <si>
    <t>PLACA 0,50X0,50M CH.GALV.22 CAVALETE METALON 20X20</t>
  </si>
  <si>
    <t>CP-06</t>
  </si>
  <si>
    <t>DEMOLIÇÃO DE CONCRETO SIMPLES - COM EQUIPAMENTO ELÉTRICO, INCLUSIVE AFASTAMENTO - BASEADO NA COMPOSIÇÃO SETOP ED-48442</t>
  </si>
  <si>
    <t>M3</t>
  </si>
  <si>
    <t>COTAÇÃO</t>
  </si>
  <si>
    <t>CT-01</t>
  </si>
  <si>
    <t>MARTELETE ELÉTRICO 1,13 HP - SETOP MATED-11199</t>
  </si>
  <si>
    <t>SETOP</t>
  </si>
  <si>
    <t>ED-50367</t>
  </si>
  <si>
    <t>SERVENTE COM ENCARGOS COMPLEMENTARES</t>
  </si>
  <si>
    <t>HORA</t>
  </si>
  <si>
    <t>CP-07</t>
  </si>
  <si>
    <t>REMOÇAO DE MEIO-FIO - PREMOLDADO DE CONCRETO - BASEADO NA COMPOSIÇÃO SUDECAP 02.15.01</t>
  </si>
  <si>
    <t>M</t>
  </si>
  <si>
    <t>CP-08</t>
  </si>
  <si>
    <t>DEMOLIÇAO DE PASSEIO E PAVIMENTO - PASSEIO OU LAJE DE CONCRETO C/ EQUIP. PNEUMATICO - BASEADO NA COMPOSIÇÃO SUDECAP 02.11.02</t>
  </si>
  <si>
    <t>M2</t>
  </si>
  <si>
    <t>50.14.10</t>
  </si>
  <si>
    <t>CHP/COMPRESSOR PORTÁTIL, MOTOR DIESEL, 275 PCM, 7 BAR, 54,4KW, OU EQUIVALENTE</t>
  </si>
  <si>
    <t>50.19.62</t>
  </si>
  <si>
    <t>CHP/ROMPEDOR PNEUMATICO MANUAL, PADRAO, PESO DE 30 KG, OU EQUIVALENTE</t>
  </si>
  <si>
    <t>CP-09</t>
  </si>
  <si>
    <t>DEMOLIÇAO DE PASSEIO E PAVIMENTO - MANUAL DE ALVENARIA POLIEDRICA - BASEADO NA COMPOSIÇÃO SUDECAP 02.11.05</t>
  </si>
  <si>
    <t>CP-10</t>
  </si>
  <si>
    <t>LIMPEZA DO PAVIMENTO - CAPINA E VARRIÇAO DE PAVIMENTO EM ALVEN.POLIEDRICA - BASEADO NA COMPOSIÇÃO SUDECAP 02.30.01</t>
  </si>
  <si>
    <t>CP-11</t>
  </si>
  <si>
    <t>PINTURA - PINTURA DE LIGAÇAO COM RR-1C - BASEADO NA COMPOSIÇÃO SUDECAP 20.12.01</t>
  </si>
  <si>
    <t>50.01.70</t>
  </si>
  <si>
    <t>CHP/VASSOURA MECANICA (CMV - VM 2440)</t>
  </si>
  <si>
    <t>50.01.71</t>
  </si>
  <si>
    <t>CHI/VASSOURA MECANICA (CMV - VM 2440)</t>
  </si>
  <si>
    <t>50.16.52</t>
  </si>
  <si>
    <t>CHP/CAMIN.DISTR.BETUME</t>
  </si>
  <si>
    <t>50.36.66</t>
  </si>
  <si>
    <t>CHP/TRATOR DE PNEUS COM POTENCIA DE 105 CV, TRACAO 4 X 4, PESO COM LASTRO DE 5500 KG, OU EQUIVALENTE</t>
  </si>
  <si>
    <t>50.36.67</t>
  </si>
  <si>
    <t>CHI/TRATOR DE PNEUS COM POTENCIA DE 105 CV, TRACAO 4 X 4, PESO COM LASTRO DE 5500 KG, OU EQUIVALENTE</t>
  </si>
  <si>
    <t>68.09.20</t>
  </si>
  <si>
    <t>EMULSAO ASFALTICA CATIONICA RR-1C PARA USO EM PAVIMENTACAO ASFALTICA (COLETADO NA ANP ACRESCIDO DE ICMS)</t>
  </si>
  <si>
    <t>T</t>
  </si>
  <si>
    <t>CP-12</t>
  </si>
  <si>
    <t>SARJETA - PADRAO SUDECAP - TIPO B - (50X10)CM - DES-R01 - BASEADO NA COMPOSIÇÃO SUDECAP 19.30.05</t>
  </si>
  <si>
    <t>50.41.11</t>
  </si>
  <si>
    <t>CHP/MÁQUINA CORTADORA DE PISO (SERRA CLIPPER), À GASOLINA, 13HP, ÚMIDO OU À SECO, OU EQUIVALENTE</t>
  </si>
  <si>
    <t>50.41.12</t>
  </si>
  <si>
    <t>CHI/MÁQUINA CORTADORA DE PISO (SERRA CLIPPER), À GASOLINA, 13HP, ÚMIDO OU À SECO, OU EQUIVALENTE</t>
  </si>
  <si>
    <t>55.10.75</t>
  </si>
  <si>
    <t>PEDREIRO</t>
  </si>
  <si>
    <t>72.10.01</t>
  </si>
  <si>
    <t>DISCO DIAMANTADO D=14" PRECISION OU EQUIVALENTE</t>
  </si>
  <si>
    <t>89.06.27</t>
  </si>
  <si>
    <t>CONCRETO USINADO FCK&gt;=20 MPA - BRITA 0 E 1 - CONVENCIONAL - SLUMP 10+-2</t>
  </si>
  <si>
    <t>CP-13</t>
  </si>
  <si>
    <t>RAMPA PARA ACESSO DE DEFICIENTE, EM CONCRETO SIMPLES FCK = 25 MPA, DESEMPENADA, COM PINTURA INDICATIVA, 02 DEMÃOS - BASEADO NA COMPOSIÇÃO SETOP ED-51148</t>
  </si>
  <si>
    <t>ED-48440</t>
  </si>
  <si>
    <t>DEMOLIÇÃO DE CONCRETO SIMPLES-MANUAL, INCLUSIVE AFASTAMENTO</t>
  </si>
  <si>
    <t>ED-51107</t>
  </si>
  <si>
    <t>ESCAVAÇÃO MANUAL DE VALA COM PROFUNDIDADE MENOR OU IGUAL A 1,5M</t>
  </si>
  <si>
    <t>ED-49787</t>
  </si>
  <si>
    <t>FORNECIMENTO DE CONCRETO ESTRUTURAL, PREPARADO EM OBRA COM BETONEIRA, COM FCK 25 MPA, INCLUSIVE LANÇAMENTO, ADENSAMENTO E ACABAMENTO (FUNDAÇÃO)</t>
  </si>
  <si>
    <t>ED-51147</t>
  </si>
  <si>
    <t>LANÇAMENTO E ESPALHAMENTO DE SOLO OU MATERIAL DE DEMOLIÇÃO EM ÁREA DE PASSEIO EXCLUSIVE APILOAMENTO</t>
  </si>
  <si>
    <t>ED-50381</t>
  </si>
  <si>
    <t>PEDREIRO COM ENCARGOS COMPLEMENTARES</t>
  </si>
  <si>
    <t>ED-50459</t>
  </si>
  <si>
    <t>PINTURA ACRÍLICA PARA PISO EM PASSEIO/SUPERFÍCIE CIMENTADA, DUAS (2) DEMÃOS</t>
  </si>
  <si>
    <t>ED-51142</t>
  </si>
  <si>
    <t>REMOÇÃO E REASSENTAMENTO DE MEIO-FIO PRÉ-MOLDADO DE CONCRETO COM REAPROVEITAMENTO</t>
  </si>
  <si>
    <t>CP-14</t>
  </si>
  <si>
    <t>PISO PODOTÁTIL DE CONCRETO, ALERTA, APLICADO EM PISO (40X40CM) COM JUNTA SECA, COR VERMELHO/AMARELO, ASSENTAMENTO COM ARGAMASSA INDUSTRIALIZADA, INCLUSIVE FORNECIMENTO E INSTALAÇÃO - BASEADO NA COMPOSIÇÃO SETOP ED-50586</t>
  </si>
  <si>
    <t>CT-02</t>
  </si>
  <si>
    <t xml:space="preserve">ARGAMASSA COLANTE (TIPO: AC-III) - SETOP MATED-12352 </t>
  </si>
  <si>
    <t>KG</t>
  </si>
  <si>
    <t>CT-03</t>
  </si>
  <si>
    <t>PISO TÁTIL - PODOTÁTIL (MATERIAL: CONCRETO/ COR: VERMELHO/TIPO: ALERTA/COMPRIMENTO: 40CM/LARGURA: 40CM/ ESPESSURA: 3CM) - SETOP MATED-12771</t>
  </si>
  <si>
    <t>CP-15</t>
  </si>
  <si>
    <t>ALTEAMENTO DE TAMPAO DE PV EM ATE 20 CM</t>
  </si>
  <si>
    <t>SUDECAP</t>
  </si>
  <si>
    <t>40.10.23</t>
  </si>
  <si>
    <t>CONCRETO CONVENCIONAL BRITA CALC. LANC. EM ESTRUT. - CONCRETO FCK &gt;= 20 MPA, BRITA CALCÁRIA, PREPARADO EM OBRA E LANÇADO EM ESTRUTURA</t>
  </si>
  <si>
    <t>40.24.15</t>
  </si>
  <si>
    <t>ARGAMASSA DE CIMENTO E AREIA - PREPARO - ARGAMASSA DE CIMENTO E AREIA 1:3</t>
  </si>
  <si>
    <t>40.30.07</t>
  </si>
  <si>
    <t>ALVENARIA - ALVENARIA TIJOLO MACICO REQ., E = 20CM, A REVESTIR</t>
  </si>
  <si>
    <t>62.01.05</t>
  </si>
  <si>
    <t>CIMENTO PORTLAND COMUM    ( CPIII-40 )  SC 50KG</t>
  </si>
  <si>
    <t>63.05.05</t>
  </si>
  <si>
    <t>AREIA LAVADA COM FRETE</t>
  </si>
  <si>
    <t>CP-20</t>
  </si>
  <si>
    <t>SINALIZACAO HORIZONTAL COM TINTA RETRORREFLETIVA A BASE DE RESINA ACRILICA COM MICROESFERAS DE VIDRO</t>
  </si>
  <si>
    <t>SINAPI-I</t>
  </si>
  <si>
    <t>5318</t>
  </si>
  <si>
    <t>DILUENTE AGUARRAS</t>
  </si>
  <si>
    <t xml:space="preserve">L     </t>
  </si>
  <si>
    <t>SINAPI</t>
  </si>
  <si>
    <t>5824</t>
  </si>
  <si>
    <t>CAMINHÃO TOCO, PBT 16.000 KG, CARGA ÚTIL MÁX. 10.685 KG, DIST. ENTRE EIXOS 4,8 M, POTÊNCIA 189 CV, INCLUSIVE CARROCERIA FIXA ABERTA DE MADEIRA P/ TRANSPORTE GERAL DE CARGA SECA, DIMEN. APROX. 2,5 X 7,00 X 0,50 M - CHP DIURNO. AF_06/2014</t>
  </si>
  <si>
    <t>CHP</t>
  </si>
  <si>
    <t>7343</t>
  </si>
  <si>
    <t>TINTA ACRILICA A BASE DE SOLVENTE, PARA SINALIZACAO HORIZONTAL VIARIA (NBR 11862)</t>
  </si>
  <si>
    <t>7348</t>
  </si>
  <si>
    <t>TINTA ACRILICA PREMIUM PARA PISO</t>
  </si>
  <si>
    <t>44478</t>
  </si>
  <si>
    <t>MICROESFERAS DE VIDRO PARA SINALIZACAO HORIZONTAL VIARIA, TIPO I-B (PREMIX) - NBR  16184</t>
  </si>
  <si>
    <t xml:space="preserve">KG    </t>
  </si>
  <si>
    <t>88316</t>
  </si>
  <si>
    <t>95133</t>
  </si>
  <si>
    <t>MÁQUINA DEMARCADORA DE FAIXA DE TRÁFEGO À FRIO, AUTOPROPELIDA, POTÊNCIA 38 HP - CHP DIURNO. AF_07/2016</t>
  </si>
  <si>
    <t>CP-21</t>
  </si>
  <si>
    <t>FORNECIMENTO E IMPLANTAÇÃO DE PLACA DE REGULAMENTAÇÃO EM AÇO, R1 LADO 0,248 M - PELÍCULA RETRORREFLETIVA TIPO I + SI - COMPOSIÇÃO ANEXA DNIT 5213444</t>
  </si>
  <si>
    <t>CT-05</t>
  </si>
  <si>
    <t>CP-22</t>
  </si>
  <si>
    <t>FORNECIMENTO E IMPLANTAÇÃO DE SUPORTE METÁLICO GALVANIZADO PARA PLACA DE REGULAMENTAÇÃO - R1 - LADO DE 0,248 M - COMPOSIÇÃO ANEXA DNIT 5213855</t>
  </si>
  <si>
    <t>CT-06</t>
  </si>
  <si>
    <t>CP-ADM</t>
  </si>
  <si>
    <t>ADMINISTRAÇÃO LOCAL</t>
  </si>
  <si>
    <t>ENGENHEIRO CIVIL DE OBRA JUNIOR COM ENCARGOS COMPLEMENTARES</t>
  </si>
  <si>
    <t>93572</t>
  </si>
  <si>
    <t>ENCARREGADO GERAL DE OBRAS COM ENCARGOS COMPLEMENTARES</t>
  </si>
  <si>
    <t>CP-24</t>
  </si>
  <si>
    <t>DEMOLIÇAO DE PASSEIO E PAVIMENTO - DE REVESTIMENTO ASFALTICO COM EQUIP. PNEUMATICO</t>
  </si>
  <si>
    <t>CP-23</t>
  </si>
  <si>
    <t>PLACAS - DE DENOMINAÇÃO DE RUA, EM FERRO ESMALTADO 45X20 CM - BASEADO NA COMPOSIÇÃO SUDECAP 18.05.03</t>
  </si>
  <si>
    <t>83.17.10</t>
  </si>
  <si>
    <t xml:space="preserve">PLACA DE ACO ESMALTADA PARA  IDENTIFICACAO DE RUA, *45 CM X 20* CM </t>
  </si>
  <si>
    <t>10776</t>
  </si>
  <si>
    <t>LOCACAO DE CONTAINER 2,30  X  6,00 M, ALT. 2,50 M, PARA ESCRITORIO, SEM DIVISORIAS INTERNAS E SEM SANITARIO</t>
  </si>
  <si>
    <t xml:space="preserve">MES   </t>
  </si>
  <si>
    <t>CT-04</t>
  </si>
  <si>
    <t>95996</t>
  </si>
  <si>
    <t>95995</t>
  </si>
  <si>
    <t>102330</t>
  </si>
  <si>
    <t>94273</t>
  </si>
  <si>
    <t>94991</t>
  </si>
  <si>
    <t>Composição SINAPI - 100981</t>
  </si>
  <si>
    <t>Código</t>
  </si>
  <si>
    <t xml:space="preserve"> 100981 </t>
  </si>
  <si>
    <t>Descrição</t>
  </si>
  <si>
    <t>CARGA, MANOBRA E DESCARGA DE ENTULHO EM CAMINHÃO BASCULANTE 6 M³ - CARGA COM ESCAVADEIRA HIDRÁULICA  (CAÇAMBA DE 0,80 M³ / 111 HP) E DESCARGA LIVRE (UNIDADE: M3). AF_07/2020</t>
  </si>
  <si>
    <t>codigo</t>
  </si>
  <si>
    <t>Tipo</t>
  </si>
  <si>
    <t>Unidade</t>
  </si>
  <si>
    <t>Valor sem Desoneração</t>
  </si>
  <si>
    <t>Coeficiente</t>
  </si>
  <si>
    <t>Total</t>
  </si>
  <si>
    <t>C</t>
  </si>
  <si>
    <t xml:space="preserve"> 5631 </t>
  </si>
  <si>
    <t>ESCAVADEIRA HIDRÁULICA SOBRE ESTEIRAS, CAÇAMBA 0,80 M3, PESO OPERACIONAL 17 T, POTENCIA BRUTA 111 HP - CHP DIURNO. AF_06/2014</t>
  </si>
  <si>
    <t>CHOR - CUSTOS HORÁRIOS DE MÁQUINAS E EQUIPAMENTOS</t>
  </si>
  <si>
    <t xml:space="preserve"> 175,98</t>
  </si>
  <si>
    <t xml:space="preserve"> 0,0083</t>
  </si>
  <si>
    <t xml:space="preserve"> 5632 </t>
  </si>
  <si>
    <t>ESCAVADEIRA HIDRÁULICA SOBRE ESTEIRAS, CAÇAMBA 0,80 M3, PESO OPERACIONAL 17 T, POTENCIA BRUTA 111 HP - CHI DIURNO. AF_06/2014</t>
  </si>
  <si>
    <t>CHI</t>
  </si>
  <si>
    <t xml:space="preserve"> 69,45</t>
  </si>
  <si>
    <t xml:space="preserve"> 0,0151</t>
  </si>
  <si>
    <t xml:space="preserve"> 67826 </t>
  </si>
  <si>
    <t>CAMINHÃO BASCULANTE 6 M3 TOCO, PESO BRUTO TOTAL 16.000 KG, CARGA ÚTIL MÁXIMA 11.130 KG, DISTÂNCIA ENTRE EIXOS 5,36 M, POTÊNCIA 185 CV, INCLUSIVE CAÇAMBA METÁLICA - CHP DIURNO. AF_06/2014</t>
  </si>
  <si>
    <t xml:space="preserve"> 148,16</t>
  </si>
  <si>
    <t xml:space="preserve"> 67827 </t>
  </si>
  <si>
    <t>CAMINHÃO BASCULANTE 6 M3 TOCO, PESO BRUTO TOTAL 16.000 KG, CARGA ÚTIL MÁXIMA 11.130 KG, DISTÂNCIA ENTRE EIXOS 5,36 M, POTÊNCIA 185 CV, INCLUSIVE CAÇAMBA METÁLICA - CHI DIURNO. AF_06/2014</t>
  </si>
  <si>
    <t xml:space="preserve"> 42,28</t>
  </si>
  <si>
    <t xml:space="preserve"> 0,0203</t>
  </si>
  <si>
    <t>Total:</t>
  </si>
  <si>
    <t>Composição SINAPI - 97914</t>
  </si>
  <si>
    <t xml:space="preserve"> 97914 </t>
  </si>
  <si>
    <t>TRANSPORTE COM CAMINHÃO BASCULANTE DE 6 M³, EM VIA URBANA PAVIMENTADA, DMT ATÉ 30 KM (UNIDADE: M3XKM). AF_07/2020</t>
  </si>
  <si>
    <t xml:space="preserve">Total </t>
  </si>
  <si>
    <t xml:space="preserve"> 0,0139</t>
  </si>
  <si>
    <t xml:space="preserve"> 0,006</t>
  </si>
  <si>
    <t>Composição SINAPI - 95996</t>
  </si>
  <si>
    <t xml:space="preserve"> 95996 </t>
  </si>
  <si>
    <t>EXECUÇÃO DE PAVIMENTO COM APLICAÇÃO DE CONCRETO ASFÁLTICO, CAMADA DE BINDER - EXCLUSIVE CARGA E TRANSPORTE. AF_11/2019</t>
  </si>
  <si>
    <t xml:space="preserve"> 5835 </t>
  </si>
  <si>
    <t>VIBROACABADORA DE ASFALTO SOBRE ESTEIRAS, LARGURA DE PAVIMENTAÇÃO 1,90 M A 5,30 M, POTÊNCIA 105 HP CAPACIDADE 450 T/H - CHP DIURNO. AF_11/2014</t>
  </si>
  <si>
    <t xml:space="preserve"> 411,65</t>
  </si>
  <si>
    <t xml:space="preserve"> 0,0331</t>
  </si>
  <si>
    <t xml:space="preserve"> 5837 </t>
  </si>
  <si>
    <t>VIBROACABADORA DE ASFALTO SOBRE ESTEIRAS, LARGURA DE PAVIMENTAÇÃO 1,90 M A 5,30 M, POTÊNCIA 105 HP CAPACIDADE 450 T/H - CHI DIURNO. AF_11/2014</t>
  </si>
  <si>
    <t xml:space="preserve"> 154,44</t>
  </si>
  <si>
    <t xml:space="preserve"> 0,0678</t>
  </si>
  <si>
    <t xml:space="preserve"> 88314 </t>
  </si>
  <si>
    <t>RASTELEIRO COM ENCARGOS COMPLEMENTARES</t>
  </si>
  <si>
    <t>SEDI - SERVIÇOS DIVERSOS</t>
  </si>
  <si>
    <t xml:space="preserve"> 17,55</t>
  </si>
  <si>
    <t xml:space="preserve"> 0,8072</t>
  </si>
  <si>
    <t xml:space="preserve"> 91386 </t>
  </si>
  <si>
    <t>CAMINHÃO BASCULANTE 10 M3, TRUCADO CABINE SIMPLES, PESO BRUTO TOTAL 23.000 KG, CARGA ÚTIL MÁXIMA 15.935 KG, DISTÂNCIA ENTRE EIXOS 4,80 M, POTÊNCIA 230 CV INCLUSIVE CAÇAMBA METÁLICA - CHP DIURNO. AF_06/2014</t>
  </si>
  <si>
    <t xml:space="preserve"> 212,24</t>
  </si>
  <si>
    <t xml:space="preserve"> 95631 </t>
  </si>
  <si>
    <t>ROLO COMPACTADOR VIBRATORIO TANDEM, ACO LISO, POTENCIA 125 HP, PESO SEM/COM LASTRO 10,20/11,65 T, LARGURA DE TRABALHO 1,73 M - CHP DIURNO. AF_11/2016</t>
  </si>
  <si>
    <t xml:space="preserve"> 178,07</t>
  </si>
  <si>
    <t xml:space="preserve"> 0,0575</t>
  </si>
  <si>
    <t xml:space="preserve"> 95632 </t>
  </si>
  <si>
    <t>ROLO COMPACTADOR VIBRATORIO TANDEM, ACO LISO, POTENCIA 125 HP, PESO SEM/COM LASTRO 10,20/11,65 T, LARGURA DE TRABALHO 1,73 M - CHI DIURNO. AF_11/2016</t>
  </si>
  <si>
    <t xml:space="preserve"> 56,93</t>
  </si>
  <si>
    <t xml:space="preserve"> 0,0434</t>
  </si>
  <si>
    <t xml:space="preserve"> 96155 </t>
  </si>
  <si>
    <t>TRATOR DE PNEUS COM POTÊNCIA DE 85 CV, TRAÇÃO 4X4, COM VASSOURA MECÂNICA ACOPLADA - CHI DIURNO. AF_02/2017</t>
  </si>
  <si>
    <t xml:space="preserve"> 41,40</t>
  </si>
  <si>
    <t xml:space="preserve"> 0,0668</t>
  </si>
  <si>
    <t xml:space="preserve"> 96157 </t>
  </si>
  <si>
    <t>TRATOR DE PNEUS COM POTÊNCIA DE 85 CV, TRAÇÃO 4X4, COM VASSOURA MECÂNICA ACOPLADA - CHP DIURNO. AF_03/2017</t>
  </si>
  <si>
    <t xml:space="preserve"> 166,48</t>
  </si>
  <si>
    <t xml:space="preserve"> 0,0341</t>
  </si>
  <si>
    <t xml:space="preserve"> 96463 </t>
  </si>
  <si>
    <t>ROLO COMPACTADOR DE PNEUS, ESTATICO, PRESSAO VARIAVEL, POTENCIA 110 HP, PESO SEM/COM LASTRO 10,8/27 T, LARGURA DE ROLAGEM 2,30 M - CHP DIURNO. AF_06/2017</t>
  </si>
  <si>
    <t xml:space="preserve"> 163,87</t>
  </si>
  <si>
    <t xml:space="preserve"> 0,0299</t>
  </si>
  <si>
    <t xml:space="preserve"> 96464 </t>
  </si>
  <si>
    <t>ROLO COMPACTADOR DE PNEUS, ESTATICO, PRESSAO VARIAVEL, POTENCIA 110 HP, PESO SEM/COM LASTRO 10,8/27 T, LARGURA DE ROLAGEM 2,30 M - CHI DIURNO. AF_06/2017</t>
  </si>
  <si>
    <t xml:space="preserve"> 61,02</t>
  </si>
  <si>
    <t xml:space="preserve"> 0,071</t>
  </si>
  <si>
    <t>I</t>
  </si>
  <si>
    <t xml:space="preserve"> 00041965 </t>
  </si>
  <si>
    <t>CONCRETO BETUMINOSO USINADO A QUENTE (CBUQ) PARA PAVIMENTACAO ASFALTICA, PADRAO DNIT, PARA BINDER, COM CAP 50/70 - AQUISICAO POSTO USINA</t>
  </si>
  <si>
    <t>Material</t>
  </si>
  <si>
    <t xml:space="preserve"> 2,5548</t>
  </si>
  <si>
    <t>Composição SINAPI - 95995</t>
  </si>
  <si>
    <t xml:space="preserve"> 95995 </t>
  </si>
  <si>
    <t>EXECUÇÃO DE PAVIMENTO COM APLICAÇÃO DE CONCRETO ASFÁLTICO, CAMADA DE ROLAMENTO - EXCLUSIVE CARGA E TRANSPORTE. AF_11/2019</t>
  </si>
  <si>
    <t xml:space="preserve"> 0,0464</t>
  </si>
  <si>
    <t xml:space="preserve"> 0,0949</t>
  </si>
  <si>
    <t xml:space="preserve"> 1,1301</t>
  </si>
  <si>
    <t xml:space="preserve"> 0,0805</t>
  </si>
  <si>
    <t xml:space="preserve"> 0,0607</t>
  </si>
  <si>
    <t xml:space="preserve"> 0,1071</t>
  </si>
  <si>
    <t xml:space="preserve"> 0,0419</t>
  </si>
  <si>
    <t xml:space="preserve"> 0,099</t>
  </si>
  <si>
    <t xml:space="preserve"> 00001518 </t>
  </si>
  <si>
    <t>CONCRETO BETUMINOSO USINADO A QUENTE (CBUQ) PARA PAVIMENTACAO ASFALTICA, PADRAO DNIT, FAIXA C, COM CAP 50/70 - AQUISICAO POSTO USINA</t>
  </si>
  <si>
    <t xml:space="preserve"> 554,95</t>
  </si>
  <si>
    <t>Composição SINAPI - 102330</t>
  </si>
  <si>
    <t xml:space="preserve"> 102330 </t>
  </si>
  <si>
    <t>TRANSPORTE COM CAMINHÃO TANQUE DE TRANSPORTE DE MATERIAL ASFÁLTICO DE 30000 L, EM VIA URBANA PAVIMENTADA, DMT ATÉ 30KM (UNIDADE: TXKM). AF_07/2020</t>
  </si>
  <si>
    <t xml:space="preserve"> 91645 </t>
  </si>
  <si>
    <t>CAMINHÃO DE TRANSPORTE DE MATERIAL ASFÁLTICO 30.000 L, COM CAVALO MECÂNICO DE CAPACIDADE MÁXIMA DE TRAÇÃO COMBINADO DE 66.000 KG, POTÊNCIA 360 CV, INCLUSIVE TANQUE DE ASFALTO COM SERPENTINA - CHP DIURNO. AF_08/2015</t>
  </si>
  <si>
    <t xml:space="preserve"> 0,0028</t>
  </si>
  <si>
    <t xml:space="preserve"> 91646 </t>
  </si>
  <si>
    <t>CAMINHÃO DE TRANSPORTE DE MATERIAL ASFÁLTICO 30.000 L, COM CAVALO MECÂNICO DE CAPACIDADE MÁXIMA DE TRAÇÃO COMBINADO DE 66.000 KG, POTÊNCIA 360 CV, INCLUSIVE TANQUE DE ASFALTO COM SERPENTINA - CHI DIURNO. AF_08/2015</t>
  </si>
  <si>
    <t xml:space="preserve"> 66,29</t>
  </si>
  <si>
    <t xml:space="preserve"> 0,0012</t>
  </si>
  <si>
    <t>Composição SINAPI - 94273</t>
  </si>
  <si>
    <t xml:space="preserve"> 94273 </t>
  </si>
  <si>
    <t>ASSENTAMENTO DE GUIA (MEIO-FIO) EM TRECHO RETO, CONFECCIONADA EM CONCRETO PRÉ-FABRICADO, DIMENSÕES 100X15X13X30 CM (COMPRIMENTO X BASE INFERIOR X BASE SUPERIOR X ALTURA), PARA VIAS URBANAS (USO VIÁRIO). AF_06/2016</t>
  </si>
  <si>
    <t xml:space="preserve"> 88309 </t>
  </si>
  <si>
    <t xml:space="preserve"> 23,10</t>
  </si>
  <si>
    <t xml:space="preserve"> 0,394</t>
  </si>
  <si>
    <t xml:space="preserve"> 88316 </t>
  </si>
  <si>
    <t xml:space="preserve"> 16,68</t>
  </si>
  <si>
    <t xml:space="preserve"> 88629 </t>
  </si>
  <si>
    <t>ARGAMASSA TRAÇO 1:3 (EM VOLUME DE CIMENTO E AREIA MÉDIA ÚMIDA), PREPARO MANUAL. AF_08/2019</t>
  </si>
  <si>
    <t>m³</t>
  </si>
  <si>
    <t xml:space="preserve"> 541,12</t>
  </si>
  <si>
    <t xml:space="preserve"> 0,002</t>
  </si>
  <si>
    <t xml:space="preserve"> 00000370 </t>
  </si>
  <si>
    <t>AREIA MEDIA - POSTO JAZIDA/FORNECEDOR (RETIRADO NA JAZIDA, SEM TRANSPORTE)</t>
  </si>
  <si>
    <t xml:space="preserve"> 78,75</t>
  </si>
  <si>
    <t xml:space="preserve"> 0,007</t>
  </si>
  <si>
    <t xml:space="preserve"> 00004059 </t>
  </si>
  <si>
    <t>MEIO-FIO OU GUIA DE CONCRETO, PRE-MOLDADO, COMP 1 M, *30 X 12/15* CM (H X L1/L2)</t>
  </si>
  <si>
    <t xml:space="preserve"> 25,54</t>
  </si>
  <si>
    <t xml:space="preserve"> 1,005</t>
  </si>
  <si>
    <t>Composição SINAPI - 94991</t>
  </si>
  <si>
    <t xml:space="preserve"> 94991 </t>
  </si>
  <si>
    <t>EXECUÇÃO DE PASSEIO (CALÇADA) OU PISO DE CONCRETO COM CONCRETO MOLDADO IN LOCO, USINADO, ACABAMENTO CONVENCIONAL, NÃO ARMADO. AF_07/2016</t>
  </si>
  <si>
    <t xml:space="preserve"> 88262 </t>
  </si>
  <si>
    <t>CARPINTEIRO DE FORMAS COM ENCARGOS COMPLEMENTARES</t>
  </si>
  <si>
    <t xml:space="preserve"> 22,84</t>
  </si>
  <si>
    <t xml:space="preserve"> 2,256</t>
  </si>
  <si>
    <t xml:space="preserve"> 0,26</t>
  </si>
  <si>
    <t xml:space="preserve"> 2,516</t>
  </si>
  <si>
    <t xml:space="preserve"> 00004460 </t>
  </si>
  <si>
    <t>SARRAFO NAO APARELHADO *2,5 X 10* CM, EM MACARANDUBA, ANGELIM OU EQUIVALENTE DA REGIAO -  BRUTA</t>
  </si>
  <si>
    <t xml:space="preserve"> 16,23</t>
  </si>
  <si>
    <t xml:space="preserve"> 2,5</t>
  </si>
  <si>
    <t xml:space="preserve"> 00004517 </t>
  </si>
  <si>
    <t>SARRAFO *2,5 X 7,5* CM EM PINUS, MISTA OU EQUIVALENTE DA REGIAO - BRUTA</t>
  </si>
  <si>
    <t xml:space="preserve"> 2,91</t>
  </si>
  <si>
    <t xml:space="preserve"> 2,0</t>
  </si>
  <si>
    <t xml:space="preserve"> 00034492 </t>
  </si>
  <si>
    <t>CONCRETO USINADO BOMBEAVEL, CLASSE DE RESISTENCIA C20, COM BRITA 0 E 1, SLUMP = 100 +/- 20 MM, EXCLUI SERVICO DE BOMBEAMENTO (NBR 8953)</t>
  </si>
  <si>
    <t xml:space="preserve"> 350,00</t>
  </si>
  <si>
    <t xml:space="preserve"> 1,213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</si>
</sst>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0.000000%"/>
    <numFmt numFmtId="165" formatCode="0.0000000%"/>
    <numFmt numFmtId="166" formatCode="0.00000"/>
    <numFmt numFmtId="167" formatCode="0.0"/>
    <numFmt numFmtId="168" formatCode="0.00000000000000000%"/>
    <numFmt numFmtId="169" formatCode="0.000000000000000000000%"/>
    <numFmt numFmtId="170" formatCode="0.0000000000000000000000%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b/>
      <sz val="11"/>
      <name val="Arial"/>
      <family val="1"/>
    </font>
    <font>
      <sz val="10"/>
      <name val="Arial"/>
      <family val="1"/>
    </font>
    <font>
      <sz val="10"/>
      <color rgb="FF000000"/>
      <name val="Arial"/>
      <family val="1"/>
    </font>
    <font>
      <b/>
      <sz val="11"/>
      <name val="Arial"/>
      <family val="2"/>
    </font>
    <font>
      <b/>
      <sz val="10"/>
      <color rgb="FF000000"/>
      <name val="Arial"/>
      <family val="2"/>
    </font>
    <font>
      <b/>
      <sz val="12"/>
      <name val="Times New Roman"/>
      <family val="1"/>
    </font>
    <font>
      <sz val="12"/>
      <name val="Times New Roman"/>
      <family val="1"/>
    </font>
    <font>
      <sz val="12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medium">
        <color indexed="64"/>
      </right>
      <top style="thin">
        <color rgb="FFCCCCCC"/>
      </top>
      <bottom style="thin">
        <color rgb="FFCCCCCC"/>
      </bottom>
      <diagonal/>
    </border>
    <border>
      <left style="medium">
        <color indexed="64"/>
      </left>
      <right style="thin">
        <color rgb="FFCCCCCC"/>
      </right>
      <top style="thin">
        <color rgb="FFCCCCCC"/>
      </top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/>
      <diagonal/>
    </border>
    <border>
      <left style="medium">
        <color indexed="64"/>
      </left>
      <right/>
      <top style="thin">
        <color rgb="FFCCCCCC"/>
      </top>
      <bottom style="medium">
        <color indexed="64"/>
      </bottom>
      <diagonal/>
    </border>
    <border>
      <left/>
      <right/>
      <top style="thin">
        <color rgb="FFCCCCCC"/>
      </top>
      <bottom style="medium">
        <color indexed="64"/>
      </bottom>
      <diagonal/>
    </border>
    <border>
      <left/>
      <right style="thin">
        <color rgb="FFCCCCCC"/>
      </right>
      <top style="thin">
        <color rgb="FFCCCCCC"/>
      </top>
      <bottom style="medium">
        <color indexed="64"/>
      </bottom>
      <diagonal/>
    </border>
    <border>
      <left style="thin">
        <color rgb="FFCCCCCC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12">
    <xf numFmtId="0" fontId="0" fillId="0" borderId="0" xfId="0"/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center" wrapText="1"/>
    </xf>
    <xf numFmtId="0" fontId="2" fillId="0" borderId="0" xfId="0" applyFont="1" applyAlignment="1">
      <alignment vertical="center"/>
    </xf>
    <xf numFmtId="9" fontId="0" fillId="0" borderId="0" xfId="1" applyFont="1"/>
    <xf numFmtId="164" fontId="0" fillId="0" borderId="0" xfId="1" applyNumberFormat="1" applyFont="1"/>
    <xf numFmtId="0" fontId="0" fillId="2" borderId="0" xfId="0" applyFill="1"/>
    <xf numFmtId="0" fontId="5" fillId="2" borderId="11" xfId="0" applyFont="1" applyFill="1" applyBorder="1" applyAlignment="1">
      <alignment horizontal="left" vertical="center" wrapText="1"/>
    </xf>
    <xf numFmtId="165" fontId="0" fillId="0" borderId="0" xfId="1" applyNumberFormat="1" applyFont="1"/>
    <xf numFmtId="9" fontId="0" fillId="0" borderId="0" xfId="0" applyNumberFormat="1"/>
    <xf numFmtId="0" fontId="0" fillId="3" borderId="0" xfId="0" applyFill="1"/>
    <xf numFmtId="166" fontId="0" fillId="0" borderId="0" xfId="0" applyNumberFormat="1"/>
    <xf numFmtId="2" fontId="0" fillId="0" borderId="0" xfId="0" applyNumberFormat="1"/>
    <xf numFmtId="0" fontId="0" fillId="0" borderId="0" xfId="0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9" fillId="0" borderId="13" xfId="0" applyFont="1" applyFill="1" applyBorder="1" applyAlignment="1">
      <alignment horizontal="right" vertical="top" wrapText="1"/>
    </xf>
    <xf numFmtId="0" fontId="7" fillId="3" borderId="13" xfId="0" applyFont="1" applyFill="1" applyBorder="1" applyAlignment="1">
      <alignment horizontal="right" vertical="top" wrapText="1"/>
    </xf>
    <xf numFmtId="0" fontId="7" fillId="3" borderId="14" xfId="0" applyFont="1" applyFill="1" applyBorder="1" applyAlignment="1">
      <alignment horizontal="right" vertical="top" wrapText="1"/>
    </xf>
    <xf numFmtId="0" fontId="9" fillId="3" borderId="13" xfId="0" applyFont="1" applyFill="1" applyBorder="1" applyAlignment="1">
      <alignment horizontal="right" vertical="top" wrapText="1"/>
    </xf>
    <xf numFmtId="0" fontId="9" fillId="3" borderId="14" xfId="0" applyFont="1" applyFill="1" applyBorder="1" applyAlignment="1">
      <alignment horizontal="right" vertical="top" wrapText="1"/>
    </xf>
    <xf numFmtId="0" fontId="9" fillId="3" borderId="16" xfId="0" applyFont="1" applyFill="1" applyBorder="1" applyAlignment="1">
      <alignment horizontal="right" vertical="top" wrapText="1"/>
    </xf>
    <xf numFmtId="2" fontId="0" fillId="3" borderId="3" xfId="0" applyNumberFormat="1" applyFill="1" applyBorder="1"/>
    <xf numFmtId="0" fontId="2" fillId="0" borderId="0" xfId="0" applyFont="1"/>
    <xf numFmtId="0" fontId="0" fillId="3" borderId="8" xfId="0" applyFill="1" applyBorder="1"/>
    <xf numFmtId="2" fontId="2" fillId="3" borderId="9" xfId="0" applyNumberFormat="1" applyFont="1" applyFill="1" applyBorder="1"/>
    <xf numFmtId="0" fontId="2" fillId="3" borderId="9" xfId="0" applyFont="1" applyFill="1" applyBorder="1"/>
    <xf numFmtId="168" fontId="0" fillId="0" borderId="0" xfId="1" applyNumberFormat="1" applyFont="1"/>
    <xf numFmtId="169" fontId="0" fillId="0" borderId="0" xfId="1" applyNumberFormat="1" applyFont="1"/>
    <xf numFmtId="170" fontId="0" fillId="0" borderId="0" xfId="1" applyNumberFormat="1" applyFont="1"/>
    <xf numFmtId="0" fontId="9" fillId="3" borderId="20" xfId="0" applyFont="1" applyFill="1" applyBorder="1" applyAlignment="1">
      <alignment horizontal="right" vertical="top" wrapText="1"/>
    </xf>
    <xf numFmtId="2" fontId="9" fillId="3" borderId="14" xfId="0" applyNumberFormat="1" applyFont="1" applyFill="1" applyBorder="1" applyAlignment="1">
      <alignment horizontal="right" vertical="top" wrapText="1"/>
    </xf>
    <xf numFmtId="2" fontId="10" fillId="3" borderId="9" xfId="0" applyNumberFormat="1" applyFont="1" applyFill="1" applyBorder="1"/>
    <xf numFmtId="0" fontId="0" fillId="0" borderId="0" xfId="0" applyFill="1"/>
    <xf numFmtId="2" fontId="11" fillId="3" borderId="20" xfId="0" applyNumberFormat="1" applyFont="1" applyFill="1" applyBorder="1" applyAlignment="1">
      <alignment horizontal="right" vertical="top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left" vertical="center" wrapText="1"/>
    </xf>
    <xf numFmtId="0" fontId="3" fillId="3" borderId="5" xfId="0" applyFont="1" applyFill="1" applyBorder="1" applyAlignment="1">
      <alignment horizontal="left" vertical="center" wrapText="1"/>
    </xf>
    <xf numFmtId="0" fontId="3" fillId="3" borderId="11" xfId="0" applyFont="1" applyFill="1" applyBorder="1" applyAlignment="1">
      <alignment horizontal="left" vertical="center" wrapText="1"/>
    </xf>
    <xf numFmtId="0" fontId="4" fillId="3" borderId="10" xfId="0" applyFont="1" applyFill="1" applyBorder="1" applyAlignment="1">
      <alignment horizontal="left" vertical="center" wrapText="1"/>
    </xf>
    <xf numFmtId="0" fontId="4" fillId="3" borderId="0" xfId="0" applyFont="1" applyFill="1" applyBorder="1" applyAlignment="1">
      <alignment horizontal="left" vertical="center" wrapText="1"/>
    </xf>
    <xf numFmtId="0" fontId="4" fillId="3" borderId="1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3" fillId="3" borderId="10" xfId="0" applyFont="1" applyFill="1" applyBorder="1" applyAlignment="1">
      <alignment horizontal="left" vertical="center" wrapText="1"/>
    </xf>
    <xf numFmtId="0" fontId="3" fillId="3" borderId="0" xfId="0" applyFont="1" applyFill="1" applyBorder="1" applyAlignment="1">
      <alignment horizontal="left" vertical="center" wrapText="1"/>
    </xf>
    <xf numFmtId="2" fontId="4" fillId="3" borderId="11" xfId="0" applyNumberFormat="1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3" fillId="3" borderId="6" xfId="0" applyFont="1" applyFill="1" applyBorder="1" applyAlignment="1">
      <alignment horizontal="left" vertical="center" wrapText="1"/>
    </xf>
    <xf numFmtId="0" fontId="4" fillId="3" borderId="7" xfId="0" applyFont="1" applyFill="1" applyBorder="1" applyAlignment="1">
      <alignment horizontal="left" vertical="center" wrapText="1"/>
    </xf>
    <xf numFmtId="0" fontId="4" fillId="3" borderId="8" xfId="0" applyFont="1" applyFill="1" applyBorder="1" applyAlignment="1">
      <alignment horizontal="left" vertical="center" wrapText="1"/>
    </xf>
    <xf numFmtId="0" fontId="4" fillId="3" borderId="9" xfId="0" applyFont="1" applyFill="1" applyBorder="1" applyAlignment="1">
      <alignment horizontal="left" vertical="center" wrapText="1"/>
    </xf>
    <xf numFmtId="2" fontId="3" fillId="3" borderId="11" xfId="0" applyNumberFormat="1" applyFont="1" applyFill="1" applyBorder="1" applyAlignment="1">
      <alignment horizontal="left" vertical="center" wrapText="1"/>
    </xf>
    <xf numFmtId="0" fontId="4" fillId="3" borderId="0" xfId="0" applyFont="1" applyFill="1"/>
    <xf numFmtId="167" fontId="3" fillId="3" borderId="11" xfId="0" applyNumberFormat="1" applyFont="1" applyFill="1" applyBorder="1" applyAlignment="1">
      <alignment horizontal="left" vertical="center" wrapText="1"/>
    </xf>
    <xf numFmtId="0" fontId="3" fillId="3" borderId="7" xfId="0" applyFont="1" applyFill="1" applyBorder="1" applyAlignment="1">
      <alignment horizontal="left" vertical="center" wrapText="1"/>
    </xf>
    <xf numFmtId="0" fontId="3" fillId="3" borderId="8" xfId="0" applyFont="1" applyFill="1" applyBorder="1" applyAlignment="1">
      <alignment horizontal="left" vertical="center" wrapText="1"/>
    </xf>
    <xf numFmtId="0" fontId="3" fillId="3" borderId="9" xfId="0" applyFont="1" applyFill="1" applyBorder="1" applyAlignment="1">
      <alignment horizontal="left" vertical="center" wrapText="1"/>
    </xf>
    <xf numFmtId="0" fontId="12" fillId="3" borderId="12" xfId="0" applyFont="1" applyFill="1" applyBorder="1" applyAlignment="1">
      <alignment horizontal="left" vertical="top" wrapText="1"/>
    </xf>
    <xf numFmtId="0" fontId="12" fillId="3" borderId="13" xfId="0" applyFont="1" applyFill="1" applyBorder="1" applyAlignment="1">
      <alignment horizontal="left" vertical="top" wrapText="1"/>
    </xf>
    <xf numFmtId="0" fontId="12" fillId="3" borderId="13" xfId="0" applyFont="1" applyFill="1" applyBorder="1" applyAlignment="1">
      <alignment horizontal="center" vertical="top" wrapText="1"/>
    </xf>
    <xf numFmtId="0" fontId="12" fillId="3" borderId="13" xfId="0" applyFont="1" applyFill="1" applyBorder="1" applyAlignment="1">
      <alignment horizontal="right" vertical="top" wrapText="1"/>
    </xf>
    <xf numFmtId="0" fontId="14" fillId="3" borderId="12" xfId="0" applyFont="1" applyFill="1" applyBorder="1" applyAlignment="1">
      <alignment horizontal="left" vertical="top" wrapText="1"/>
    </xf>
    <xf numFmtId="0" fontId="14" fillId="3" borderId="13" xfId="0" applyFont="1" applyFill="1" applyBorder="1" applyAlignment="1">
      <alignment horizontal="left" vertical="top" wrapText="1"/>
    </xf>
    <xf numFmtId="0" fontId="14" fillId="3" borderId="13" xfId="0" applyFont="1" applyFill="1" applyBorder="1" applyAlignment="1">
      <alignment horizontal="center" vertical="top" wrapText="1"/>
    </xf>
    <xf numFmtId="0" fontId="14" fillId="3" borderId="13" xfId="0" applyFont="1" applyFill="1" applyBorder="1" applyAlignment="1">
      <alignment horizontal="right" vertical="top" wrapText="1"/>
    </xf>
    <xf numFmtId="0" fontId="14" fillId="3" borderId="15" xfId="0" applyFont="1" applyFill="1" applyBorder="1" applyAlignment="1">
      <alignment horizontal="left" vertical="top" wrapText="1"/>
    </xf>
    <xf numFmtId="0" fontId="14" fillId="3" borderId="16" xfId="0" applyFont="1" applyFill="1" applyBorder="1" applyAlignment="1">
      <alignment horizontal="left" vertical="top" wrapText="1"/>
    </xf>
    <xf numFmtId="0" fontId="14" fillId="3" borderId="16" xfId="0" applyFont="1" applyFill="1" applyBorder="1" applyAlignment="1">
      <alignment horizontal="center" vertical="top" wrapText="1"/>
    </xf>
    <xf numFmtId="0" fontId="14" fillId="3" borderId="16" xfId="0" applyFont="1" applyFill="1" applyBorder="1" applyAlignment="1">
      <alignment horizontal="right" vertical="top" wrapText="1"/>
    </xf>
    <xf numFmtId="2" fontId="14" fillId="3" borderId="13" xfId="0" applyNumberFormat="1" applyFont="1" applyFill="1" applyBorder="1" applyAlignment="1">
      <alignment horizontal="right" vertical="top" wrapText="1"/>
    </xf>
    <xf numFmtId="0" fontId="3" fillId="0" borderId="0" xfId="0" applyFont="1" applyAlignment="1">
      <alignment horizontal="left" vertical="center" wrapText="1"/>
    </xf>
    <xf numFmtId="0" fontId="7" fillId="3" borderId="4" xfId="0" applyFont="1" applyFill="1" applyBorder="1" applyAlignment="1">
      <alignment wrapText="1"/>
    </xf>
    <xf numFmtId="0" fontId="0" fillId="3" borderId="5" xfId="0" applyFill="1" applyBorder="1" applyAlignment="1"/>
    <xf numFmtId="0" fontId="0" fillId="3" borderId="6" xfId="0" applyFill="1" applyBorder="1" applyAlignment="1"/>
    <xf numFmtId="0" fontId="12" fillId="3" borderId="10" xfId="0" applyFont="1" applyFill="1" applyBorder="1" applyAlignment="1">
      <alignment vertical="top" wrapText="1"/>
    </xf>
    <xf numFmtId="0" fontId="13" fillId="3" borderId="0" xfId="0" applyFont="1" applyFill="1" applyBorder="1" applyAlignment="1">
      <alignment vertical="top" wrapText="1"/>
    </xf>
    <xf numFmtId="0" fontId="8" fillId="3" borderId="0" xfId="0" applyFont="1" applyFill="1" applyBorder="1" applyAlignment="1">
      <alignment vertical="top" wrapText="1"/>
    </xf>
    <xf numFmtId="0" fontId="0" fillId="3" borderId="0" xfId="0" applyFill="1" applyBorder="1" applyAlignment="1"/>
    <xf numFmtId="0" fontId="0" fillId="3" borderId="11" xfId="0" applyFill="1" applyBorder="1" applyAlignment="1"/>
    <xf numFmtId="0" fontId="10" fillId="3" borderId="17" xfId="0" applyFont="1" applyFill="1" applyBorder="1" applyAlignment="1"/>
    <xf numFmtId="0" fontId="10" fillId="3" borderId="18" xfId="0" applyFont="1" applyFill="1" applyBorder="1" applyAlignment="1"/>
    <xf numFmtId="0" fontId="13" fillId="3" borderId="0" xfId="0" applyFont="1" applyFill="1" applyAlignment="1">
      <alignment vertical="top" wrapText="1"/>
    </xf>
    <xf numFmtId="0" fontId="8" fillId="3" borderId="0" xfId="0" applyFont="1" applyFill="1" applyAlignment="1">
      <alignment vertical="top" wrapText="1"/>
    </xf>
    <xf numFmtId="0" fontId="0" fillId="3" borderId="0" xfId="0" applyFill="1" applyAlignment="1"/>
    <xf numFmtId="0" fontId="0" fillId="3" borderId="17" xfId="0" applyFill="1" applyBorder="1" applyAlignment="1"/>
    <xf numFmtId="0" fontId="0" fillId="3" borderId="18" xfId="0" applyFill="1" applyBorder="1" applyAlignment="1"/>
    <xf numFmtId="0" fontId="0" fillId="3" borderId="1" xfId="0" applyFill="1" applyBorder="1" applyAlignment="1"/>
    <xf numFmtId="0" fontId="0" fillId="3" borderId="2" xfId="0" applyFill="1" applyBorder="1" applyAlignment="1"/>
    <xf numFmtId="0" fontId="0" fillId="3" borderId="19" xfId="0" applyFill="1" applyBorder="1" applyAlignment="1"/>
    <xf numFmtId="0" fontId="6" fillId="3" borderId="17" xfId="0" applyFont="1" applyFill="1" applyBorder="1" applyAlignment="1">
      <alignment vertical="center" wrapText="1"/>
    </xf>
    <xf numFmtId="0" fontId="6" fillId="3" borderId="18" xfId="0" applyFont="1" applyFill="1" applyBorder="1" applyAlignment="1">
      <alignment vertical="center" wrapText="1"/>
    </xf>
    <xf numFmtId="0" fontId="4" fillId="3" borderId="17" xfId="0" applyFont="1" applyFill="1" applyBorder="1" applyAlignment="1">
      <alignment vertical="center" wrapText="1"/>
    </xf>
    <xf numFmtId="0" fontId="4" fillId="3" borderId="18" xfId="0" applyFont="1" applyFill="1" applyBorder="1" applyAlignment="1">
      <alignment vertical="center" wrapText="1"/>
    </xf>
    <xf numFmtId="0" fontId="0" fillId="3" borderId="1" xfId="0" quotePrefix="1" applyFill="1" applyBorder="1" applyAlignment="1"/>
    <xf numFmtId="0" fontId="12" fillId="3" borderId="12" xfId="0" applyFont="1" applyFill="1" applyBorder="1" applyAlignment="1">
      <alignment vertical="top" wrapText="1"/>
    </xf>
    <xf numFmtId="0" fontId="12" fillId="3" borderId="13" xfId="0" applyFont="1" applyFill="1" applyBorder="1" applyAlignment="1">
      <alignment vertical="top" wrapText="1"/>
    </xf>
    <xf numFmtId="0" fontId="7" fillId="3" borderId="13" xfId="0" applyFont="1" applyFill="1" applyBorder="1" applyAlignment="1">
      <alignment vertical="top" wrapText="1"/>
    </xf>
    <xf numFmtId="0" fontId="7" fillId="3" borderId="14" xfId="0" applyFont="1" applyFill="1" applyBorder="1" applyAlignment="1">
      <alignment vertical="top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2" fontId="4" fillId="0" borderId="0" xfId="0" applyNumberFormat="1" applyFont="1" applyFill="1" applyBorder="1" applyAlignment="1">
      <alignment horizontal="left" vertical="center" wrapText="1"/>
    </xf>
    <xf numFmtId="2" fontId="3" fillId="0" borderId="0" xfId="0" applyNumberFormat="1" applyFont="1" applyFill="1" applyBorder="1" applyAlignment="1">
      <alignment horizontal="left" vertical="center" wrapText="1"/>
    </xf>
    <xf numFmtId="167" fontId="3" fillId="0" borderId="11" xfId="0" applyNumberFormat="1" applyFont="1" applyFill="1" applyBorder="1" applyAlignment="1">
      <alignment horizontal="left" vertical="center" wrapText="1"/>
    </xf>
    <xf numFmtId="2" fontId="3" fillId="0" borderId="11" xfId="0" applyNumberFormat="1" applyFont="1" applyFill="1" applyBorder="1" applyAlignment="1">
      <alignment horizontal="left" vertical="center" wrapText="1"/>
    </xf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K192"/>
  <sheetViews>
    <sheetView tabSelected="1" view="pageBreakPreview" zoomScale="55" zoomScaleNormal="70" zoomScaleSheetLayoutView="55" workbookViewId="0">
      <selection activeCell="AV12" sqref="AV12"/>
    </sheetView>
  </sheetViews>
  <sheetFormatPr defaultRowHeight="15.6" x14ac:dyDescent="0.3"/>
  <cols>
    <col min="1" max="1" width="20.44140625" style="1" customWidth="1"/>
    <col min="2" max="2" width="12.6640625" style="1" bestFit="1" customWidth="1"/>
    <col min="3" max="3" width="78.6640625" style="1" customWidth="1"/>
    <col min="4" max="4" width="14.44140625" style="1" bestFit="1" customWidth="1"/>
    <col min="5" max="5" width="14.21875" style="1" bestFit="1" customWidth="1"/>
    <col min="6" max="8" width="24.33203125" style="1" customWidth="1"/>
    <col min="9" max="9" width="8.88671875" hidden="1" customWidth="1"/>
    <col min="10" max="10" width="10.44140625" hidden="1" customWidth="1"/>
    <col min="11" max="12" width="8.88671875" hidden="1" customWidth="1"/>
    <col min="13" max="13" width="33.77734375" hidden="1" customWidth="1"/>
    <col min="14" max="14" width="29.109375" hidden="1" customWidth="1"/>
    <col min="15" max="15" width="8.88671875" hidden="1" customWidth="1"/>
    <col min="16" max="16" width="11.88671875" hidden="1" customWidth="1"/>
    <col min="17" max="17" width="10.77734375" hidden="1" customWidth="1"/>
    <col min="18" max="37" width="8.88671875" hidden="1" customWidth="1"/>
    <col min="38" max="43" width="8.88671875" customWidth="1"/>
  </cols>
  <sheetData>
    <row r="1" spans="1:18" ht="16.2" thickBot="1" x14ac:dyDescent="0.35">
      <c r="G1" s="107"/>
      <c r="H1" s="107"/>
    </row>
    <row r="2" spans="1:18" ht="16.2" thickBot="1" x14ac:dyDescent="0.35">
      <c r="A2" s="36" t="s">
        <v>5</v>
      </c>
      <c r="B2" s="37" t="s">
        <v>6</v>
      </c>
      <c r="C2" s="37" t="s">
        <v>7</v>
      </c>
      <c r="D2" s="37" t="s">
        <v>8</v>
      </c>
      <c r="E2" s="37" t="s">
        <v>9</v>
      </c>
      <c r="F2" s="38" t="s">
        <v>10</v>
      </c>
      <c r="G2" s="105"/>
      <c r="H2" s="105"/>
    </row>
    <row r="3" spans="1:18" ht="56.4" customHeight="1" x14ac:dyDescent="0.3">
      <c r="A3" s="39" t="s">
        <v>1</v>
      </c>
      <c r="B3" s="40" t="s">
        <v>2</v>
      </c>
      <c r="C3" s="40" t="s">
        <v>3</v>
      </c>
      <c r="D3" s="40" t="s">
        <v>4</v>
      </c>
      <c r="E3" s="40"/>
      <c r="F3" s="41">
        <f>F4</f>
        <v>659.6</v>
      </c>
      <c r="G3" s="105"/>
      <c r="H3" s="105"/>
      <c r="M3" s="8" t="s">
        <v>25</v>
      </c>
      <c r="N3" s="8">
        <v>38.24</v>
      </c>
      <c r="O3">
        <v>39.270000000000003</v>
      </c>
      <c r="P3" s="10">
        <f>(O3-N3)/O3</f>
        <v>2.6228673287496843E-2</v>
      </c>
      <c r="Q3" s="3">
        <v>12.7</v>
      </c>
      <c r="R3">
        <f>Q3-(Q3*P4)</f>
        <v>12.318999999999999</v>
      </c>
    </row>
    <row r="4" spans="1:18" ht="56.4" customHeight="1" thickBot="1" x14ac:dyDescent="0.35">
      <c r="A4" s="42" t="s">
        <v>11</v>
      </c>
      <c r="B4" s="43" t="s">
        <v>12</v>
      </c>
      <c r="C4" s="43" t="s">
        <v>13</v>
      </c>
      <c r="D4" s="43" t="s">
        <v>14</v>
      </c>
      <c r="E4" s="43">
        <v>1</v>
      </c>
      <c r="F4" s="44">
        <v>659.6</v>
      </c>
      <c r="G4" s="106"/>
      <c r="H4" s="106"/>
      <c r="M4" s="8" t="s">
        <v>32</v>
      </c>
      <c r="N4" s="8">
        <v>9.75</v>
      </c>
      <c r="P4" s="11">
        <v>0.03</v>
      </c>
      <c r="Q4" s="3">
        <v>38</v>
      </c>
      <c r="R4">
        <f>Q4-(Q4*P4)</f>
        <v>36.86</v>
      </c>
    </row>
    <row r="5" spans="1:18" ht="16.2" thickBot="1" x14ac:dyDescent="0.35">
      <c r="A5" s="45"/>
      <c r="B5" s="46"/>
      <c r="C5" s="46"/>
      <c r="D5" s="46"/>
      <c r="E5" s="46"/>
      <c r="F5" s="47"/>
      <c r="G5" s="106"/>
      <c r="H5" s="106"/>
      <c r="N5">
        <v>0</v>
      </c>
    </row>
    <row r="6" spans="1:18" ht="46.8" x14ac:dyDescent="0.3">
      <c r="A6" s="48" t="s">
        <v>1</v>
      </c>
      <c r="B6" s="49" t="s">
        <v>15</v>
      </c>
      <c r="C6" s="49" t="s">
        <v>16</v>
      </c>
      <c r="D6" s="49" t="s">
        <v>17</v>
      </c>
      <c r="E6" s="49"/>
      <c r="F6" s="41">
        <f>F7</f>
        <v>485</v>
      </c>
      <c r="G6" s="105"/>
      <c r="H6" s="105"/>
      <c r="M6" s="12" t="s">
        <v>150</v>
      </c>
      <c r="N6" s="12">
        <v>5990.05</v>
      </c>
    </row>
    <row r="7" spans="1:18" ht="18.600000000000001" thickBot="1" x14ac:dyDescent="0.35">
      <c r="A7" s="42" t="s">
        <v>11</v>
      </c>
      <c r="B7" s="43" t="s">
        <v>18</v>
      </c>
      <c r="C7" s="43" t="s">
        <v>19</v>
      </c>
      <c r="D7" s="43" t="s">
        <v>20</v>
      </c>
      <c r="E7" s="43">
        <v>1</v>
      </c>
      <c r="F7" s="44">
        <v>485</v>
      </c>
      <c r="G7" s="106"/>
      <c r="H7" s="106"/>
      <c r="M7" s="8" t="s">
        <v>2</v>
      </c>
      <c r="N7" s="8">
        <v>659.6</v>
      </c>
      <c r="O7" s="9">
        <v>680</v>
      </c>
      <c r="P7" s="8">
        <f>O7-(O7*3%)</f>
        <v>659.6</v>
      </c>
      <c r="Q7" s="7"/>
    </row>
    <row r="8" spans="1:18" ht="16.2" thickBot="1" x14ac:dyDescent="0.35">
      <c r="A8" s="45"/>
      <c r="B8" s="46"/>
      <c r="C8" s="46"/>
      <c r="D8" s="46"/>
      <c r="E8" s="46"/>
      <c r="F8" s="47"/>
      <c r="G8" s="106"/>
      <c r="H8" s="106"/>
      <c r="M8" t="s">
        <v>161</v>
      </c>
      <c r="N8">
        <v>628.6</v>
      </c>
    </row>
    <row r="9" spans="1:18" ht="46.8" x14ac:dyDescent="0.3">
      <c r="A9" s="48" t="s">
        <v>1</v>
      </c>
      <c r="B9" s="49" t="s">
        <v>21</v>
      </c>
      <c r="C9" s="49" t="s">
        <v>22</v>
      </c>
      <c r="D9" s="49" t="s">
        <v>17</v>
      </c>
      <c r="E9" s="49"/>
      <c r="F9" s="41">
        <f>F10</f>
        <v>485</v>
      </c>
      <c r="G9" s="105"/>
      <c r="H9" s="105"/>
      <c r="M9" s="8" t="s">
        <v>15</v>
      </c>
      <c r="N9" s="8">
        <v>485</v>
      </c>
    </row>
    <row r="10" spans="1:18" ht="16.2" thickBot="1" x14ac:dyDescent="0.35">
      <c r="A10" s="42" t="s">
        <v>11</v>
      </c>
      <c r="B10" s="43" t="s">
        <v>23</v>
      </c>
      <c r="C10" s="43" t="s">
        <v>24</v>
      </c>
      <c r="D10" s="43" t="s">
        <v>20</v>
      </c>
      <c r="E10" s="43">
        <v>1</v>
      </c>
      <c r="F10" s="44">
        <v>485</v>
      </c>
      <c r="G10" s="106"/>
      <c r="H10" s="106"/>
      <c r="M10" s="8" t="s">
        <v>21</v>
      </c>
      <c r="N10" s="8">
        <v>485</v>
      </c>
    </row>
    <row r="11" spans="1:18" ht="16.2" thickBot="1" x14ac:dyDescent="0.35">
      <c r="A11" s="45"/>
      <c r="B11" s="46"/>
      <c r="C11" s="46"/>
      <c r="D11" s="46"/>
      <c r="E11" s="46"/>
      <c r="F11" s="47"/>
      <c r="G11" s="106"/>
      <c r="H11" s="106"/>
      <c r="N11">
        <v>0</v>
      </c>
    </row>
    <row r="12" spans="1:18" ht="31.2" x14ac:dyDescent="0.3">
      <c r="A12" s="48" t="s">
        <v>1</v>
      </c>
      <c r="B12" s="49" t="s">
        <v>25</v>
      </c>
      <c r="C12" s="49" t="s">
        <v>26</v>
      </c>
      <c r="D12" s="49" t="s">
        <v>17</v>
      </c>
      <c r="E12" s="49"/>
      <c r="F12" s="41">
        <f>F14+(F13*E13)</f>
        <v>38.24</v>
      </c>
      <c r="G12" s="105"/>
      <c r="H12" s="105"/>
      <c r="M12" s="12" t="s">
        <v>37</v>
      </c>
      <c r="N12" s="12">
        <v>37.81</v>
      </c>
    </row>
    <row r="13" spans="1:18" x14ac:dyDescent="0.3">
      <c r="A13" s="42" t="s">
        <v>11</v>
      </c>
      <c r="B13" s="43" t="s">
        <v>27</v>
      </c>
      <c r="C13" s="43" t="s">
        <v>28</v>
      </c>
      <c r="D13" s="43" t="s">
        <v>29</v>
      </c>
      <c r="E13" s="43">
        <v>0.1</v>
      </c>
      <c r="F13" s="50">
        <v>12.7</v>
      </c>
      <c r="G13" s="108"/>
      <c r="H13" s="108"/>
      <c r="I13">
        <f>F13*E13</f>
        <v>1.27</v>
      </c>
      <c r="J13">
        <f>12.7-(12.7*3%)</f>
        <v>12.318999999999999</v>
      </c>
      <c r="K13">
        <f>(E13*J13)+J14</f>
        <v>37.092800000000004</v>
      </c>
      <c r="M13" s="12" t="s">
        <v>47</v>
      </c>
      <c r="N13" s="12">
        <v>6.93</v>
      </c>
    </row>
    <row r="14" spans="1:18" ht="31.8" thickBot="1" x14ac:dyDescent="0.35">
      <c r="A14" s="42" t="s">
        <v>11</v>
      </c>
      <c r="B14" s="43" t="s">
        <v>30</v>
      </c>
      <c r="C14" s="43" t="s">
        <v>31</v>
      </c>
      <c r="D14" s="43" t="s">
        <v>20</v>
      </c>
      <c r="E14" s="43">
        <v>1</v>
      </c>
      <c r="F14" s="50">
        <f>0.11+36.86</f>
        <v>36.97</v>
      </c>
      <c r="G14" s="108"/>
      <c r="H14" s="108"/>
      <c r="J14">
        <f>F14-(F14*3%)</f>
        <v>35.860900000000001</v>
      </c>
      <c r="M14" t="s">
        <v>50</v>
      </c>
      <c r="N14">
        <v>12.14</v>
      </c>
    </row>
    <row r="15" spans="1:18" ht="16.2" thickBot="1" x14ac:dyDescent="0.35">
      <c r="A15" s="45"/>
      <c r="B15" s="46"/>
      <c r="C15" s="46"/>
      <c r="D15" s="46"/>
      <c r="E15" s="46"/>
      <c r="F15" s="47"/>
      <c r="G15" s="106"/>
      <c r="H15" s="106"/>
      <c r="M15" s="12" t="s">
        <v>57</v>
      </c>
      <c r="N15" s="12">
        <v>5.54</v>
      </c>
    </row>
    <row r="16" spans="1:18" ht="31.2" x14ac:dyDescent="0.3">
      <c r="A16" s="48" t="s">
        <v>1</v>
      </c>
      <c r="B16" s="49" t="s">
        <v>32</v>
      </c>
      <c r="C16" s="49" t="s">
        <v>33</v>
      </c>
      <c r="D16" s="49" t="s">
        <v>34</v>
      </c>
      <c r="E16" s="49"/>
      <c r="F16" s="41">
        <f>(E17*F17)+(F18*E18)</f>
        <v>9.75</v>
      </c>
      <c r="G16" s="105"/>
      <c r="H16" s="105"/>
      <c r="M16" s="12" t="s">
        <v>59</v>
      </c>
      <c r="N16" s="12">
        <v>2.31</v>
      </c>
    </row>
    <row r="17" spans="1:14" x14ac:dyDescent="0.3">
      <c r="A17" s="42" t="s">
        <v>11</v>
      </c>
      <c r="B17" s="43" t="s">
        <v>27</v>
      </c>
      <c r="C17" s="43" t="s">
        <v>28</v>
      </c>
      <c r="D17" s="43" t="s">
        <v>29</v>
      </c>
      <c r="E17" s="43">
        <v>0.2</v>
      </c>
      <c r="F17" s="44">
        <v>12.7</v>
      </c>
      <c r="G17" s="106"/>
      <c r="H17" s="106"/>
      <c r="I17">
        <f>E17*F17</f>
        <v>2.54</v>
      </c>
      <c r="J17">
        <f>SUM(I17:I18)</f>
        <v>9.75</v>
      </c>
      <c r="K17">
        <f>9.75-I17</f>
        <v>7.21</v>
      </c>
      <c r="M17" s="12" t="s">
        <v>155</v>
      </c>
      <c r="N17" s="12">
        <v>12.14</v>
      </c>
    </row>
    <row r="18" spans="1:14" ht="16.2" thickBot="1" x14ac:dyDescent="0.35">
      <c r="A18" s="42" t="s">
        <v>11</v>
      </c>
      <c r="B18" s="43" t="s">
        <v>35</v>
      </c>
      <c r="C18" s="43" t="s">
        <v>36</v>
      </c>
      <c r="D18" s="43" t="s">
        <v>20</v>
      </c>
      <c r="E18" s="43">
        <v>0.04</v>
      </c>
      <c r="F18" s="44">
        <v>180.25</v>
      </c>
      <c r="G18" s="106"/>
      <c r="H18" s="106"/>
      <c r="I18">
        <f>E18*F18</f>
        <v>7.21</v>
      </c>
      <c r="K18">
        <f>K17/E18</f>
        <v>180.25</v>
      </c>
      <c r="M18">
        <v>100981</v>
      </c>
      <c r="N18">
        <v>7.08</v>
      </c>
    </row>
    <row r="19" spans="1:14" ht="16.2" thickBot="1" x14ac:dyDescent="0.35">
      <c r="A19" s="51"/>
      <c r="B19" s="52"/>
      <c r="C19" s="52"/>
      <c r="D19" s="52"/>
      <c r="E19" s="52"/>
      <c r="F19" s="53"/>
      <c r="G19" s="106"/>
      <c r="H19" s="106"/>
      <c r="M19">
        <v>97914</v>
      </c>
      <c r="N19">
        <v>2.23</v>
      </c>
    </row>
    <row r="20" spans="1:14" ht="46.8" x14ac:dyDescent="0.3">
      <c r="A20" s="39" t="s">
        <v>1</v>
      </c>
      <c r="B20" s="40" t="s">
        <v>37</v>
      </c>
      <c r="C20" s="40" t="s">
        <v>38</v>
      </c>
      <c r="D20" s="40" t="s">
        <v>39</v>
      </c>
      <c r="E20" s="40"/>
      <c r="F20" s="54">
        <f>(E21*F21)+(E22*F22)</f>
        <v>37.81</v>
      </c>
      <c r="G20" s="105"/>
      <c r="H20" s="105"/>
      <c r="I20">
        <f>37.81-36.54</f>
        <v>1.2700000000000031</v>
      </c>
      <c r="J20" s="6">
        <f>F20/I20</f>
        <v>29.771653543307014</v>
      </c>
      <c r="M20" s="12" t="s">
        <v>164</v>
      </c>
      <c r="N20" s="12">
        <v>38.799999999999997</v>
      </c>
    </row>
    <row r="21" spans="1:14" x14ac:dyDescent="0.3">
      <c r="A21" s="42" t="s">
        <v>40</v>
      </c>
      <c r="B21" s="43" t="s">
        <v>41</v>
      </c>
      <c r="C21" s="43" t="s">
        <v>42</v>
      </c>
      <c r="D21" s="43" t="s">
        <v>17</v>
      </c>
      <c r="E21" s="43">
        <v>6</v>
      </c>
      <c r="F21" s="50">
        <v>2.5716666666666668</v>
      </c>
      <c r="G21" s="108"/>
      <c r="H21" s="108"/>
      <c r="I21">
        <f>E21*F21</f>
        <v>15.43</v>
      </c>
      <c r="J21">
        <f>F21*E21</f>
        <v>15.43</v>
      </c>
      <c r="K21">
        <f>14.16+1.27</f>
        <v>15.43</v>
      </c>
      <c r="M21" s="12"/>
      <c r="N21" s="12">
        <v>0</v>
      </c>
    </row>
    <row r="22" spans="1:14" ht="16.2" thickBot="1" x14ac:dyDescent="0.35">
      <c r="A22" s="55" t="s">
        <v>43</v>
      </c>
      <c r="B22" s="56" t="s">
        <v>44</v>
      </c>
      <c r="C22" s="56" t="s">
        <v>45</v>
      </c>
      <c r="D22" s="56" t="s">
        <v>46</v>
      </c>
      <c r="E22" s="56">
        <v>1.5</v>
      </c>
      <c r="F22" s="57">
        <v>14.92</v>
      </c>
      <c r="G22" s="106"/>
      <c r="H22" s="106"/>
      <c r="I22">
        <f>E22*F22</f>
        <v>22.38</v>
      </c>
      <c r="J22">
        <f>F22*E22</f>
        <v>22.38</v>
      </c>
      <c r="K22">
        <f>K21/6</f>
        <v>2.5716666666666668</v>
      </c>
      <c r="M22" s="12" t="s">
        <v>61</v>
      </c>
      <c r="N22" s="12">
        <v>2.2000000000000002</v>
      </c>
    </row>
    <row r="23" spans="1:14" ht="16.2" thickBot="1" x14ac:dyDescent="0.35">
      <c r="A23" s="45"/>
      <c r="B23" s="46"/>
      <c r="C23" s="46"/>
      <c r="D23" s="46"/>
      <c r="E23" s="46"/>
      <c r="F23" s="47"/>
      <c r="G23" s="106"/>
      <c r="H23" s="106"/>
      <c r="M23" t="s">
        <v>165</v>
      </c>
      <c r="N23">
        <v>1405.68</v>
      </c>
    </row>
    <row r="24" spans="1:14" ht="31.2" x14ac:dyDescent="0.3">
      <c r="A24" s="48" t="s">
        <v>1</v>
      </c>
      <c r="B24" s="49" t="s">
        <v>47</v>
      </c>
      <c r="C24" s="49" t="s">
        <v>48</v>
      </c>
      <c r="D24" s="49" t="s">
        <v>49</v>
      </c>
      <c r="E24" s="41"/>
      <c r="F24" s="41">
        <v>6.93</v>
      </c>
      <c r="G24" s="105"/>
      <c r="H24" s="105"/>
      <c r="J24">
        <f>E25*F25</f>
        <v>6.93</v>
      </c>
      <c r="M24" t="s">
        <v>166</v>
      </c>
      <c r="N24">
        <v>1476.32</v>
      </c>
    </row>
    <row r="25" spans="1:14" ht="16.2" thickBot="1" x14ac:dyDescent="0.35">
      <c r="A25" s="42" t="s">
        <v>11</v>
      </c>
      <c r="B25" s="43" t="s">
        <v>27</v>
      </c>
      <c r="C25" s="43" t="s">
        <v>28</v>
      </c>
      <c r="D25" s="43" t="s">
        <v>29</v>
      </c>
      <c r="E25" s="43">
        <v>0.5</v>
      </c>
      <c r="F25" s="44">
        <f>F24/E25</f>
        <v>13.86</v>
      </c>
      <c r="G25" s="106"/>
      <c r="H25" s="106"/>
      <c r="M25" t="s">
        <v>167</v>
      </c>
      <c r="N25">
        <v>1.1299999999999999</v>
      </c>
    </row>
    <row r="26" spans="1:14" ht="16.2" thickBot="1" x14ac:dyDescent="0.35">
      <c r="A26" s="45"/>
      <c r="B26" s="46"/>
      <c r="C26" s="46"/>
      <c r="D26" s="46"/>
      <c r="E26" s="46"/>
      <c r="F26" s="47"/>
      <c r="G26" s="106"/>
      <c r="H26" s="106"/>
      <c r="M26" s="12" t="s">
        <v>111</v>
      </c>
      <c r="N26" s="12">
        <v>251.92</v>
      </c>
    </row>
    <row r="27" spans="1:14" ht="46.8" x14ac:dyDescent="0.3">
      <c r="A27" s="48" t="s">
        <v>1</v>
      </c>
      <c r="B27" s="49" t="s">
        <v>50</v>
      </c>
      <c r="C27" s="49" t="s">
        <v>51</v>
      </c>
      <c r="D27" s="49" t="s">
        <v>52</v>
      </c>
      <c r="E27" s="49"/>
      <c r="F27" s="58">
        <f>(E28*F28)+(E29*F29)+(E30*F30)</f>
        <v>12.144970899999999</v>
      </c>
      <c r="G27" s="109"/>
      <c r="H27" s="109"/>
      <c r="I27">
        <v>11.819999999999999</v>
      </c>
      <c r="J27">
        <f>E27-I27</f>
        <v>-11.819999999999999</v>
      </c>
      <c r="N27">
        <v>0</v>
      </c>
    </row>
    <row r="28" spans="1:14" ht="31.2" x14ac:dyDescent="0.3">
      <c r="A28" s="42" t="s">
        <v>11</v>
      </c>
      <c r="B28" s="43" t="s">
        <v>53</v>
      </c>
      <c r="C28" s="43" t="s">
        <v>54</v>
      </c>
      <c r="D28" s="43" t="s">
        <v>29</v>
      </c>
      <c r="E28" s="43">
        <v>6.6669999999999993E-2</v>
      </c>
      <c r="F28" s="44">
        <v>103.97</v>
      </c>
      <c r="G28" s="106"/>
      <c r="H28" s="106"/>
      <c r="I28">
        <f>E28*F28</f>
        <v>6.9316798999999989</v>
      </c>
      <c r="M28" t="s">
        <v>168</v>
      </c>
      <c r="N28">
        <v>41.67</v>
      </c>
    </row>
    <row r="29" spans="1:14" ht="31.2" x14ac:dyDescent="0.3">
      <c r="A29" s="42" t="s">
        <v>11</v>
      </c>
      <c r="B29" s="43" t="s">
        <v>55</v>
      </c>
      <c r="C29" s="43" t="s">
        <v>56</v>
      </c>
      <c r="D29" s="43" t="s">
        <v>29</v>
      </c>
      <c r="E29" s="43">
        <v>0.2</v>
      </c>
      <c r="F29" s="44">
        <v>17.600000000000001</v>
      </c>
      <c r="G29" s="106"/>
      <c r="H29" s="106"/>
      <c r="I29">
        <f t="shared" ref="I29:I30" si="0">E29*F29</f>
        <v>3.5200000000000005</v>
      </c>
      <c r="J29">
        <f>I29+0.32</f>
        <v>3.8400000000000003</v>
      </c>
      <c r="K29">
        <f>J29/E29</f>
        <v>19.2</v>
      </c>
      <c r="M29" s="12" t="s">
        <v>76</v>
      </c>
      <c r="N29" s="12">
        <v>23.97</v>
      </c>
    </row>
    <row r="30" spans="1:14" ht="16.2" thickBot="1" x14ac:dyDescent="0.35">
      <c r="A30" s="42" t="s">
        <v>11</v>
      </c>
      <c r="B30" s="43" t="s">
        <v>27</v>
      </c>
      <c r="C30" s="43" t="s">
        <v>28</v>
      </c>
      <c r="D30" s="43" t="s">
        <v>29</v>
      </c>
      <c r="E30" s="43">
        <v>0.13333</v>
      </c>
      <c r="F30" s="44">
        <v>12.7</v>
      </c>
      <c r="G30" s="106"/>
      <c r="H30" s="106"/>
      <c r="I30">
        <f t="shared" si="0"/>
        <v>1.6932909999999999</v>
      </c>
      <c r="M30" t="s">
        <v>169</v>
      </c>
      <c r="N30">
        <v>553.30999999999995</v>
      </c>
    </row>
    <row r="31" spans="1:14" ht="16.2" thickBot="1" x14ac:dyDescent="0.35">
      <c r="A31" s="45"/>
      <c r="B31" s="46"/>
      <c r="C31" s="46"/>
      <c r="D31" s="46"/>
      <c r="E31" s="46"/>
      <c r="F31" s="47"/>
      <c r="G31" s="106"/>
      <c r="H31" s="106"/>
      <c r="M31" s="12" t="s">
        <v>88</v>
      </c>
      <c r="N31" s="12">
        <v>324.38</v>
      </c>
    </row>
    <row r="32" spans="1:14" ht="31.2" x14ac:dyDescent="0.3">
      <c r="A32" s="48" t="s">
        <v>1</v>
      </c>
      <c r="B32" s="49" t="s">
        <v>57</v>
      </c>
      <c r="C32" s="49" t="s">
        <v>58</v>
      </c>
      <c r="D32" s="49" t="s">
        <v>52</v>
      </c>
      <c r="E32" s="49"/>
      <c r="F32" s="41">
        <v>5.54</v>
      </c>
      <c r="G32" s="105"/>
      <c r="H32" s="105"/>
      <c r="M32" s="12" t="s">
        <v>104</v>
      </c>
      <c r="N32" s="12">
        <v>74.33</v>
      </c>
    </row>
    <row r="33" spans="1:15" ht="16.2" thickBot="1" x14ac:dyDescent="0.35">
      <c r="A33" s="42" t="s">
        <v>11</v>
      </c>
      <c r="B33" s="43" t="s">
        <v>27</v>
      </c>
      <c r="C33" s="43" t="s">
        <v>28</v>
      </c>
      <c r="D33" s="43" t="s">
        <v>29</v>
      </c>
      <c r="E33" s="43">
        <v>0.4</v>
      </c>
      <c r="F33" s="44">
        <f>F32/E33</f>
        <v>13.85</v>
      </c>
      <c r="G33" s="106"/>
      <c r="H33" s="106"/>
      <c r="M33" s="12"/>
      <c r="N33" s="12">
        <v>0</v>
      </c>
    </row>
    <row r="34" spans="1:15" ht="16.2" thickBot="1" x14ac:dyDescent="0.35">
      <c r="A34" s="45"/>
      <c r="B34" s="46"/>
      <c r="C34" s="46"/>
      <c r="D34" s="46"/>
      <c r="E34" s="46"/>
      <c r="F34" s="47"/>
      <c r="G34" s="106"/>
      <c r="H34" s="106"/>
      <c r="M34" s="12" t="s">
        <v>124</v>
      </c>
      <c r="N34" s="12">
        <v>17.329999999999998</v>
      </c>
    </row>
    <row r="35" spans="1:15" ht="31.2" x14ac:dyDescent="0.3">
      <c r="A35" s="39" t="s">
        <v>1</v>
      </c>
      <c r="B35" s="40" t="s">
        <v>59</v>
      </c>
      <c r="C35" s="40" t="s">
        <v>60</v>
      </c>
      <c r="D35" s="40" t="s">
        <v>52</v>
      </c>
      <c r="E35" s="40"/>
      <c r="F35" s="54">
        <v>2.31</v>
      </c>
      <c r="G35" s="105"/>
      <c r="H35" s="105"/>
      <c r="M35" s="12" t="s">
        <v>144</v>
      </c>
      <c r="N35" s="12">
        <v>157.06</v>
      </c>
      <c r="O35" s="12"/>
    </row>
    <row r="36" spans="1:15" ht="16.2" thickBot="1" x14ac:dyDescent="0.35">
      <c r="A36" s="42" t="s">
        <v>11</v>
      </c>
      <c r="B36" s="43" t="s">
        <v>27</v>
      </c>
      <c r="C36" s="43" t="s">
        <v>28</v>
      </c>
      <c r="D36" s="43" t="s">
        <v>29</v>
      </c>
      <c r="E36" s="43">
        <v>0.16667000000000001</v>
      </c>
      <c r="F36" s="50">
        <f>F35/E36</f>
        <v>13.859722805543889</v>
      </c>
      <c r="G36" s="108"/>
      <c r="H36" s="108"/>
      <c r="M36" s="12" t="s">
        <v>147</v>
      </c>
      <c r="N36" s="12">
        <v>232.82</v>
      </c>
      <c r="O36" s="12"/>
    </row>
    <row r="37" spans="1:15" ht="16.2" thickBot="1" x14ac:dyDescent="0.35">
      <c r="A37" s="45"/>
      <c r="B37" s="46"/>
      <c r="C37" s="46"/>
      <c r="D37" s="46"/>
      <c r="E37" s="46"/>
      <c r="F37" s="47"/>
      <c r="G37" s="106"/>
      <c r="H37" s="106"/>
      <c r="M37" s="12" t="s">
        <v>157</v>
      </c>
      <c r="N37" s="12">
        <v>110.7</v>
      </c>
    </row>
    <row r="38" spans="1:15" ht="31.2" x14ac:dyDescent="0.3">
      <c r="A38" s="48" t="s">
        <v>1</v>
      </c>
      <c r="B38" s="49" t="s">
        <v>61</v>
      </c>
      <c r="C38" s="49" t="s">
        <v>62</v>
      </c>
      <c r="D38" s="49" t="s">
        <v>52</v>
      </c>
      <c r="E38" s="59"/>
      <c r="F38" s="60">
        <f>(E39*F39)+(E40*F40)+(E41*F41)+(E42*F42)+(E43*F43)+(E44*F44)+(E45*F45)</f>
        <v>2.1959217999999998</v>
      </c>
      <c r="G38" s="110"/>
      <c r="H38" s="110"/>
      <c r="I38" s="4">
        <v>2.25</v>
      </c>
      <c r="J38">
        <f>2.28-2.2</f>
        <v>7.9999999999999627E-2</v>
      </c>
    </row>
    <row r="39" spans="1:15" x14ac:dyDescent="0.3">
      <c r="A39" s="42" t="s">
        <v>11</v>
      </c>
      <c r="B39" s="43" t="s">
        <v>63</v>
      </c>
      <c r="C39" s="43" t="s">
        <v>64</v>
      </c>
      <c r="D39" s="43" t="s">
        <v>29</v>
      </c>
      <c r="E39" s="43">
        <v>3.6000000000000002E-4</v>
      </c>
      <c r="F39" s="44">
        <v>10.25</v>
      </c>
      <c r="G39" s="106"/>
      <c r="H39" s="106"/>
      <c r="I39">
        <f>E39*F39</f>
        <v>3.6900000000000001E-3</v>
      </c>
    </row>
    <row r="40" spans="1:15" x14ac:dyDescent="0.3">
      <c r="A40" s="42" t="s">
        <v>11</v>
      </c>
      <c r="B40" s="43" t="s">
        <v>65</v>
      </c>
      <c r="C40" s="43" t="s">
        <v>66</v>
      </c>
      <c r="D40" s="43" t="s">
        <v>29</v>
      </c>
      <c r="E40" s="43">
        <v>1.4499999999999999E-3</v>
      </c>
      <c r="F40" s="44">
        <v>7.58</v>
      </c>
      <c r="G40" s="106"/>
      <c r="H40" s="106"/>
      <c r="I40">
        <f t="shared" ref="I40:I45" si="1">E40*F40</f>
        <v>1.0990999999999999E-2</v>
      </c>
    </row>
    <row r="41" spans="1:15" x14ac:dyDescent="0.3">
      <c r="A41" s="42" t="s">
        <v>11</v>
      </c>
      <c r="B41" s="43" t="s">
        <v>67</v>
      </c>
      <c r="C41" s="43" t="s">
        <v>68</v>
      </c>
      <c r="D41" s="43" t="s">
        <v>29</v>
      </c>
      <c r="E41" s="43">
        <v>1.82E-3</v>
      </c>
      <c r="F41" s="50">
        <f>0.352/E41</f>
        <v>193.4065934065934</v>
      </c>
      <c r="G41" s="108"/>
      <c r="H41" s="108"/>
      <c r="I41">
        <f t="shared" si="1"/>
        <v>0.35199999999999998</v>
      </c>
      <c r="J41">
        <f>I41-J38</f>
        <v>0.27200000000000035</v>
      </c>
      <c r="K41">
        <v>0.3519952000000004</v>
      </c>
      <c r="L41">
        <v>0.43199520000000002</v>
      </c>
    </row>
    <row r="42" spans="1:15" ht="31.2" x14ac:dyDescent="0.3">
      <c r="A42" s="42" t="s">
        <v>11</v>
      </c>
      <c r="B42" s="43" t="s">
        <v>69</v>
      </c>
      <c r="C42" s="43" t="s">
        <v>70</v>
      </c>
      <c r="D42" s="43" t="s">
        <v>29</v>
      </c>
      <c r="E42" s="43">
        <v>3.6000000000000002E-4</v>
      </c>
      <c r="F42" s="44">
        <v>140.78</v>
      </c>
      <c r="G42" s="106"/>
      <c r="H42" s="106"/>
      <c r="I42">
        <f t="shared" si="1"/>
        <v>5.0680800000000005E-2</v>
      </c>
    </row>
    <row r="43" spans="1:15" ht="31.2" x14ac:dyDescent="0.3">
      <c r="A43" s="42" t="s">
        <v>11</v>
      </c>
      <c r="B43" s="43" t="s">
        <v>71</v>
      </c>
      <c r="C43" s="43" t="s">
        <v>72</v>
      </c>
      <c r="D43" s="43" t="s">
        <v>29</v>
      </c>
      <c r="E43" s="43">
        <v>1.4499999999999999E-3</v>
      </c>
      <c r="F43" s="44">
        <v>29.24</v>
      </c>
      <c r="G43" s="106"/>
      <c r="H43" s="106"/>
      <c r="I43">
        <f t="shared" si="1"/>
        <v>4.2397999999999998E-2</v>
      </c>
    </row>
    <row r="44" spans="1:15" x14ac:dyDescent="0.3">
      <c r="A44" s="42" t="s">
        <v>11</v>
      </c>
      <c r="B44" s="43" t="s">
        <v>27</v>
      </c>
      <c r="C44" s="43" t="s">
        <v>28</v>
      </c>
      <c r="D44" s="43" t="s">
        <v>29</v>
      </c>
      <c r="E44" s="43">
        <v>1.091E-2</v>
      </c>
      <c r="F44" s="44">
        <v>12.7</v>
      </c>
      <c r="G44" s="106"/>
      <c r="H44" s="106"/>
      <c r="I44">
        <f t="shared" si="1"/>
        <v>0.13855699999999999</v>
      </c>
    </row>
    <row r="45" spans="1:15" ht="31.8" thickBot="1" x14ac:dyDescent="0.35">
      <c r="A45" s="42" t="s">
        <v>11</v>
      </c>
      <c r="B45" s="43" t="s">
        <v>73</v>
      </c>
      <c r="C45" s="43" t="s">
        <v>74</v>
      </c>
      <c r="D45" s="43" t="s">
        <v>75</v>
      </c>
      <c r="E45" s="43">
        <v>5.0000000000000001E-4</v>
      </c>
      <c r="F45" s="44">
        <v>3195.21</v>
      </c>
      <c r="G45" s="106"/>
      <c r="H45" s="106"/>
      <c r="I45">
        <f t="shared" si="1"/>
        <v>1.5976049999999999</v>
      </c>
    </row>
    <row r="46" spans="1:15" ht="16.2" thickBot="1" x14ac:dyDescent="0.35">
      <c r="A46" s="45"/>
      <c r="B46" s="46"/>
      <c r="C46" s="46"/>
      <c r="D46" s="46"/>
      <c r="E46" s="46"/>
      <c r="F46" s="47"/>
      <c r="G46" s="106"/>
      <c r="H46" s="106"/>
    </row>
    <row r="47" spans="1:15" ht="31.2" x14ac:dyDescent="0.3">
      <c r="A47" s="48" t="s">
        <v>1</v>
      </c>
      <c r="B47" s="49" t="s">
        <v>76</v>
      </c>
      <c r="C47" s="49" t="s">
        <v>77</v>
      </c>
      <c r="D47" s="49" t="s">
        <v>49</v>
      </c>
      <c r="E47" s="59"/>
      <c r="F47" s="58">
        <f>(E48*F48)+(E49*F49)+(E50*F50)+(E51*F51)+(E52*F52)+(E53*F53)</f>
        <v>23.96996</v>
      </c>
      <c r="G47" s="109"/>
      <c r="H47" s="109"/>
      <c r="I47">
        <f>E47-F47</f>
        <v>-23.96996</v>
      </c>
    </row>
    <row r="48" spans="1:15" ht="31.2" x14ac:dyDescent="0.3">
      <c r="A48" s="42" t="s">
        <v>11</v>
      </c>
      <c r="B48" s="43" t="s">
        <v>78</v>
      </c>
      <c r="C48" s="43" t="s">
        <v>79</v>
      </c>
      <c r="D48" s="43" t="s">
        <v>29</v>
      </c>
      <c r="E48" s="43">
        <v>2.5000000000000001E-2</v>
      </c>
      <c r="F48" s="44">
        <v>12.84</v>
      </c>
      <c r="G48" s="106"/>
      <c r="H48" s="106"/>
    </row>
    <row r="49" spans="1:10" ht="31.2" x14ac:dyDescent="0.3">
      <c r="A49" s="42" t="s">
        <v>11</v>
      </c>
      <c r="B49" s="43" t="s">
        <v>80</v>
      </c>
      <c r="C49" s="43" t="s">
        <v>81</v>
      </c>
      <c r="D49" s="43" t="s">
        <v>29</v>
      </c>
      <c r="E49" s="43">
        <v>3.4000000000000002E-2</v>
      </c>
      <c r="F49" s="44">
        <v>2.5099999999999998</v>
      </c>
      <c r="G49" s="106"/>
      <c r="H49" s="106"/>
    </row>
    <row r="50" spans="1:10" x14ac:dyDescent="0.3">
      <c r="A50" s="42" t="s">
        <v>11</v>
      </c>
      <c r="B50" s="43" t="s">
        <v>82</v>
      </c>
      <c r="C50" s="43" t="s">
        <v>83</v>
      </c>
      <c r="D50" s="43" t="s">
        <v>29</v>
      </c>
      <c r="E50" s="43">
        <v>0.11</v>
      </c>
      <c r="F50" s="44">
        <v>17.91</v>
      </c>
      <c r="G50" s="106"/>
      <c r="H50" s="106"/>
    </row>
    <row r="51" spans="1:10" x14ac:dyDescent="0.3">
      <c r="A51" s="42" t="s">
        <v>11</v>
      </c>
      <c r="B51" s="43" t="s">
        <v>27</v>
      </c>
      <c r="C51" s="43" t="s">
        <v>28</v>
      </c>
      <c r="D51" s="43" t="s">
        <v>29</v>
      </c>
      <c r="E51" s="43">
        <v>0.44</v>
      </c>
      <c r="F51" s="44">
        <v>12.7</v>
      </c>
      <c r="G51" s="106"/>
      <c r="H51" s="106"/>
    </row>
    <row r="52" spans="1:10" x14ac:dyDescent="0.3">
      <c r="A52" s="42" t="s">
        <v>11</v>
      </c>
      <c r="B52" s="43" t="s">
        <v>84</v>
      </c>
      <c r="C52" s="43" t="s">
        <v>85</v>
      </c>
      <c r="D52" s="43" t="s">
        <v>20</v>
      </c>
      <c r="E52" s="43">
        <v>2E-3</v>
      </c>
      <c r="F52" s="44">
        <v>154.51</v>
      </c>
      <c r="G52" s="106"/>
      <c r="H52" s="106"/>
    </row>
    <row r="53" spans="1:10" ht="31.8" thickBot="1" x14ac:dyDescent="0.35">
      <c r="A53" s="42" t="s">
        <v>11</v>
      </c>
      <c r="B53" s="43" t="s">
        <v>86</v>
      </c>
      <c r="C53" s="43" t="s">
        <v>87</v>
      </c>
      <c r="D53" s="43" t="s">
        <v>39</v>
      </c>
      <c r="E53" s="43">
        <v>0.05</v>
      </c>
      <c r="F53" s="44">
        <f>15.6965/E53</f>
        <v>313.93</v>
      </c>
      <c r="G53" s="106"/>
      <c r="H53" s="106"/>
      <c r="I53">
        <f>E53*F53</f>
        <v>15.6965</v>
      </c>
      <c r="J53">
        <f>I53+I47</f>
        <v>-8.27346</v>
      </c>
    </row>
    <row r="54" spans="1:10" ht="16.2" thickBot="1" x14ac:dyDescent="0.35">
      <c r="A54" s="45"/>
      <c r="B54" s="46"/>
      <c r="C54" s="46"/>
      <c r="D54" s="46"/>
      <c r="E54" s="46"/>
      <c r="F54" s="47"/>
      <c r="G54" s="106"/>
      <c r="H54" s="106"/>
    </row>
    <row r="55" spans="1:10" ht="46.8" x14ac:dyDescent="0.3">
      <c r="A55" s="48" t="s">
        <v>1</v>
      </c>
      <c r="B55" s="49" t="s">
        <v>88</v>
      </c>
      <c r="C55" s="49" t="s">
        <v>89</v>
      </c>
      <c r="D55" s="49" t="s">
        <v>17</v>
      </c>
      <c r="E55" s="59"/>
      <c r="F55" s="41">
        <f>E56*F56+E57*F57+E58*F58+E59*F59+E60*F60+E61*F61+E62*F62+E63*F63</f>
        <v>324.38</v>
      </c>
      <c r="G55" s="105"/>
      <c r="H55" s="105"/>
      <c r="I55">
        <f>E55-F55</f>
        <v>-324.38</v>
      </c>
      <c r="J55">
        <f>F55-E55</f>
        <v>324.38</v>
      </c>
    </row>
    <row r="56" spans="1:10" ht="31.2" x14ac:dyDescent="0.3">
      <c r="A56" s="42" t="s">
        <v>43</v>
      </c>
      <c r="B56" s="43" t="s">
        <v>90</v>
      </c>
      <c r="C56" s="43" t="s">
        <v>91</v>
      </c>
      <c r="D56" s="43" t="s">
        <v>39</v>
      </c>
      <c r="E56" s="43">
        <v>0.17</v>
      </c>
      <c r="F56" s="44">
        <v>220.58</v>
      </c>
      <c r="G56" s="106"/>
      <c r="H56" s="106"/>
    </row>
    <row r="57" spans="1:10" ht="31.2" x14ac:dyDescent="0.3">
      <c r="A57" s="42" t="s">
        <v>43</v>
      </c>
      <c r="B57" s="43" t="s">
        <v>92</v>
      </c>
      <c r="C57" s="43" t="s">
        <v>93</v>
      </c>
      <c r="D57" s="43" t="s">
        <v>39</v>
      </c>
      <c r="E57" s="43">
        <v>0.4</v>
      </c>
      <c r="F57" s="44">
        <v>50.72</v>
      </c>
      <c r="G57" s="106"/>
      <c r="H57" s="106"/>
    </row>
    <row r="58" spans="1:10" ht="46.8" x14ac:dyDescent="0.3">
      <c r="A58" s="42" t="s">
        <v>43</v>
      </c>
      <c r="B58" s="43" t="s">
        <v>94</v>
      </c>
      <c r="C58" s="43" t="s">
        <v>95</v>
      </c>
      <c r="D58" s="43" t="s">
        <v>39</v>
      </c>
      <c r="E58" s="43">
        <v>0.26</v>
      </c>
      <c r="F58" s="50">
        <f>148.249/E58</f>
        <v>570.18846153846152</v>
      </c>
      <c r="G58" s="108"/>
      <c r="H58" s="108"/>
      <c r="I58">
        <f>E58*F58</f>
        <v>148.249</v>
      </c>
      <c r="J58">
        <f>I58+I55</f>
        <v>-176.131</v>
      </c>
    </row>
    <row r="59" spans="1:10" ht="31.2" x14ac:dyDescent="0.3">
      <c r="A59" s="42" t="s">
        <v>43</v>
      </c>
      <c r="B59" s="43" t="s">
        <v>96</v>
      </c>
      <c r="C59" s="43" t="s">
        <v>97</v>
      </c>
      <c r="D59" s="43" t="s">
        <v>39</v>
      </c>
      <c r="E59" s="43">
        <v>0.4</v>
      </c>
      <c r="F59" s="44">
        <v>17.149999999999999</v>
      </c>
      <c r="G59" s="106"/>
      <c r="H59" s="106"/>
    </row>
    <row r="60" spans="1:10" x14ac:dyDescent="0.3">
      <c r="A60" s="42" t="s">
        <v>43</v>
      </c>
      <c r="B60" s="43" t="s">
        <v>98</v>
      </c>
      <c r="C60" s="43" t="s">
        <v>99</v>
      </c>
      <c r="D60" s="43" t="s">
        <v>46</v>
      </c>
      <c r="E60" s="43">
        <v>1.056</v>
      </c>
      <c r="F60" s="44">
        <v>20.48</v>
      </c>
      <c r="G60" s="106"/>
      <c r="H60" s="106"/>
    </row>
    <row r="61" spans="1:10" ht="31.2" x14ac:dyDescent="0.3">
      <c r="A61" s="42" t="s">
        <v>43</v>
      </c>
      <c r="B61" s="43" t="s">
        <v>100</v>
      </c>
      <c r="C61" s="43" t="s">
        <v>101</v>
      </c>
      <c r="D61" s="43" t="s">
        <v>52</v>
      </c>
      <c r="E61" s="43">
        <v>1.2</v>
      </c>
      <c r="F61" s="44">
        <v>8.75</v>
      </c>
      <c r="G61" s="106"/>
      <c r="H61" s="106"/>
    </row>
    <row r="62" spans="1:10" ht="31.2" x14ac:dyDescent="0.3">
      <c r="A62" s="42" t="s">
        <v>43</v>
      </c>
      <c r="B62" s="43" t="s">
        <v>102</v>
      </c>
      <c r="C62" s="43" t="s">
        <v>103</v>
      </c>
      <c r="D62" s="43" t="s">
        <v>49</v>
      </c>
      <c r="E62" s="43">
        <v>2.2000000000000002</v>
      </c>
      <c r="F62" s="44">
        <v>28.91</v>
      </c>
      <c r="G62" s="106"/>
      <c r="H62" s="106"/>
    </row>
    <row r="63" spans="1:10" ht="16.2" thickBot="1" x14ac:dyDescent="0.35">
      <c r="A63" s="42" t="s">
        <v>43</v>
      </c>
      <c r="B63" s="43" t="s">
        <v>44</v>
      </c>
      <c r="C63" s="43" t="s">
        <v>45</v>
      </c>
      <c r="D63" s="43" t="s">
        <v>46</v>
      </c>
      <c r="E63" s="43">
        <v>1.056</v>
      </c>
      <c r="F63" s="44">
        <v>14.92</v>
      </c>
      <c r="G63" s="106"/>
      <c r="H63" s="106"/>
    </row>
    <row r="64" spans="1:10" ht="16.2" thickBot="1" x14ac:dyDescent="0.35">
      <c r="A64" s="45"/>
      <c r="B64" s="46"/>
      <c r="C64" s="46"/>
      <c r="D64" s="46"/>
      <c r="E64" s="46"/>
      <c r="F64" s="47"/>
      <c r="G64" s="106"/>
      <c r="H64" s="106"/>
    </row>
    <row r="65" spans="1:14" ht="78" x14ac:dyDescent="0.3">
      <c r="A65" s="48" t="s">
        <v>1</v>
      </c>
      <c r="B65" s="49" t="s">
        <v>104</v>
      </c>
      <c r="C65" s="49" t="s">
        <v>105</v>
      </c>
      <c r="D65" s="49" t="s">
        <v>52</v>
      </c>
      <c r="E65" s="59"/>
      <c r="F65" s="58">
        <f>E66*F66+E67*F67+E68*F68+E69*F69</f>
        <v>74.330599648000003</v>
      </c>
      <c r="G65" s="109"/>
      <c r="H65" s="109"/>
      <c r="I65">
        <f>F65-E65</f>
        <v>74.330599648000003</v>
      </c>
    </row>
    <row r="66" spans="1:14" x14ac:dyDescent="0.3">
      <c r="A66" s="42" t="s">
        <v>40</v>
      </c>
      <c r="B66" s="43" t="s">
        <v>106</v>
      </c>
      <c r="C66" s="43" t="s">
        <v>107</v>
      </c>
      <c r="D66" s="43" t="s">
        <v>108</v>
      </c>
      <c r="E66" s="43">
        <v>8</v>
      </c>
      <c r="F66" s="44">
        <v>1.29</v>
      </c>
      <c r="G66" s="106"/>
      <c r="H66" s="106"/>
    </row>
    <row r="67" spans="1:14" ht="46.8" x14ac:dyDescent="0.3">
      <c r="A67" s="42" t="s">
        <v>40</v>
      </c>
      <c r="B67" s="43" t="s">
        <v>109</v>
      </c>
      <c r="C67" s="43" t="s">
        <v>110</v>
      </c>
      <c r="D67" s="43" t="s">
        <v>52</v>
      </c>
      <c r="E67" s="43">
        <v>1.05</v>
      </c>
      <c r="F67" s="44">
        <v>37.5</v>
      </c>
      <c r="G67" s="106"/>
      <c r="H67" s="106"/>
    </row>
    <row r="68" spans="1:14" x14ac:dyDescent="0.3">
      <c r="A68" s="42" t="s">
        <v>43</v>
      </c>
      <c r="B68" s="43" t="s">
        <v>98</v>
      </c>
      <c r="C68" s="43" t="s">
        <v>99</v>
      </c>
      <c r="D68" s="43" t="s">
        <v>46</v>
      </c>
      <c r="E68" s="43">
        <v>0.86274510000000004</v>
      </c>
      <c r="F68" s="44">
        <v>20.48</v>
      </c>
      <c r="G68" s="106"/>
      <c r="H68" s="106"/>
    </row>
    <row r="69" spans="1:14" ht="16.2" thickBot="1" x14ac:dyDescent="0.35">
      <c r="A69" s="42" t="s">
        <v>43</v>
      </c>
      <c r="B69" s="43" t="s">
        <v>44</v>
      </c>
      <c r="C69" s="43" t="s">
        <v>45</v>
      </c>
      <c r="D69" s="43" t="s">
        <v>46</v>
      </c>
      <c r="E69" s="43">
        <v>0.43137249999999999</v>
      </c>
      <c r="F69" s="50">
        <f>(7.13658-0.17)/E69</f>
        <v>16.149800926113741</v>
      </c>
      <c r="G69" s="108"/>
      <c r="H69" s="108"/>
      <c r="I69">
        <f>E69*F69</f>
        <v>6.9665799999999996</v>
      </c>
      <c r="J69">
        <f>I69-0.2995</f>
        <v>6.6670799999999995</v>
      </c>
    </row>
    <row r="70" spans="1:14" ht="16.2" thickBot="1" x14ac:dyDescent="0.35">
      <c r="A70" s="45"/>
      <c r="B70" s="46"/>
      <c r="C70" s="46"/>
      <c r="D70" s="46"/>
      <c r="E70" s="46"/>
      <c r="F70" s="47"/>
      <c r="G70" s="106"/>
      <c r="H70" s="106"/>
    </row>
    <row r="71" spans="1:14" x14ac:dyDescent="0.3">
      <c r="A71" s="48" t="s">
        <v>1</v>
      </c>
      <c r="B71" s="49" t="s">
        <v>111</v>
      </c>
      <c r="C71" s="49" t="s">
        <v>112</v>
      </c>
      <c r="D71" s="49" t="s">
        <v>17</v>
      </c>
      <c r="E71" s="59"/>
      <c r="F71" s="58">
        <f>E72*F72+E73*F73+E74*F74+E75*F75+E76*F76+E77*F77+E78*F78</f>
        <v>251.91803000000004</v>
      </c>
      <c r="G71" s="109"/>
      <c r="H71" s="109"/>
      <c r="I71">
        <f>E72*F72+E73*F73+E74*F74+E75*F75+E76*F76+E77*F77+E78*F78</f>
        <v>251.91803000000004</v>
      </c>
      <c r="J71">
        <f>E71-F71</f>
        <v>-251.91803000000004</v>
      </c>
    </row>
    <row r="72" spans="1:14" ht="46.8" x14ac:dyDescent="0.3">
      <c r="A72" s="42" t="s">
        <v>113</v>
      </c>
      <c r="B72" s="43" t="s">
        <v>114</v>
      </c>
      <c r="C72" s="43" t="s">
        <v>115</v>
      </c>
      <c r="D72" s="43" t="s">
        <v>39</v>
      </c>
      <c r="E72" s="43">
        <v>2.7E-2</v>
      </c>
      <c r="F72" s="44">
        <v>505.55</v>
      </c>
      <c r="G72" s="106"/>
      <c r="H72" s="106"/>
      <c r="I72">
        <f>E72*F72</f>
        <v>13.649850000000001</v>
      </c>
    </row>
    <row r="73" spans="1:14" ht="31.2" x14ac:dyDescent="0.3">
      <c r="A73" s="42" t="s">
        <v>113</v>
      </c>
      <c r="B73" s="43" t="s">
        <v>116</v>
      </c>
      <c r="C73" s="43" t="s">
        <v>117</v>
      </c>
      <c r="D73" s="43" t="s">
        <v>39</v>
      </c>
      <c r="E73" s="43">
        <v>0.01</v>
      </c>
      <c r="F73" s="44">
        <v>432.1</v>
      </c>
      <c r="G73" s="106"/>
      <c r="H73" s="106"/>
      <c r="I73">
        <f t="shared" ref="I73:I78" si="2">E73*F73</f>
        <v>4.3210000000000006</v>
      </c>
    </row>
    <row r="74" spans="1:14" x14ac:dyDescent="0.3">
      <c r="A74" s="42" t="s">
        <v>113</v>
      </c>
      <c r="B74" s="43" t="s">
        <v>118</v>
      </c>
      <c r="C74" s="43" t="s">
        <v>119</v>
      </c>
      <c r="D74" s="43" t="s">
        <v>52</v>
      </c>
      <c r="E74" s="43">
        <v>0.65</v>
      </c>
      <c r="F74" s="44">
        <f>152.77/E74</f>
        <v>235.03076923076924</v>
      </c>
      <c r="G74" s="106"/>
      <c r="H74" s="106"/>
      <c r="I74">
        <f t="shared" si="2"/>
        <v>152.77000000000001</v>
      </c>
      <c r="J74">
        <f>I74+10.02</f>
        <v>162.79000000000002</v>
      </c>
      <c r="K74">
        <v>152.79250000000002</v>
      </c>
    </row>
    <row r="75" spans="1:14" x14ac:dyDescent="0.3">
      <c r="A75" s="42" t="s">
        <v>11</v>
      </c>
      <c r="B75" s="43" t="s">
        <v>82</v>
      </c>
      <c r="C75" s="43" t="s">
        <v>83</v>
      </c>
      <c r="D75" s="43" t="s">
        <v>29</v>
      </c>
      <c r="E75" s="43">
        <v>2.6</v>
      </c>
      <c r="F75" s="44">
        <v>17.91</v>
      </c>
      <c r="G75" s="106"/>
      <c r="H75" s="106"/>
      <c r="I75">
        <f t="shared" si="2"/>
        <v>46.566000000000003</v>
      </c>
    </row>
    <row r="76" spans="1:14" x14ac:dyDescent="0.3">
      <c r="A76" s="42" t="s">
        <v>11</v>
      </c>
      <c r="B76" s="43" t="s">
        <v>27</v>
      </c>
      <c r="C76" s="43" t="s">
        <v>28</v>
      </c>
      <c r="D76" s="43" t="s">
        <v>29</v>
      </c>
      <c r="E76" s="43">
        <v>2.6</v>
      </c>
      <c r="F76" s="44">
        <v>12.7</v>
      </c>
      <c r="G76" s="106"/>
      <c r="H76" s="106"/>
      <c r="I76">
        <f t="shared" si="2"/>
        <v>33.019999999999996</v>
      </c>
    </row>
    <row r="77" spans="1:14" x14ac:dyDescent="0.3">
      <c r="A77" s="42" t="s">
        <v>11</v>
      </c>
      <c r="B77" s="43" t="s">
        <v>120</v>
      </c>
      <c r="C77" s="43" t="s">
        <v>121</v>
      </c>
      <c r="D77" s="43" t="s">
        <v>108</v>
      </c>
      <c r="E77" s="43">
        <v>1.75</v>
      </c>
      <c r="F77" s="44">
        <v>0.52</v>
      </c>
      <c r="G77" s="106"/>
      <c r="H77" s="106"/>
      <c r="I77">
        <f t="shared" si="2"/>
        <v>0.91</v>
      </c>
    </row>
    <row r="78" spans="1:14" ht="16.2" thickBot="1" x14ac:dyDescent="0.35">
      <c r="A78" s="42" t="s">
        <v>11</v>
      </c>
      <c r="B78" s="43" t="s">
        <v>122</v>
      </c>
      <c r="C78" s="43" t="s">
        <v>123</v>
      </c>
      <c r="D78" s="43" t="s">
        <v>39</v>
      </c>
      <c r="E78" s="43">
        <v>6.0000000000000001E-3</v>
      </c>
      <c r="F78" s="44">
        <v>113.53</v>
      </c>
      <c r="G78" s="106"/>
      <c r="H78" s="106"/>
      <c r="I78">
        <f t="shared" si="2"/>
        <v>0.68118000000000001</v>
      </c>
    </row>
    <row r="79" spans="1:14" ht="16.2" thickBot="1" x14ac:dyDescent="0.35">
      <c r="A79" s="45"/>
      <c r="B79" s="46"/>
      <c r="C79" s="46"/>
      <c r="D79" s="46"/>
      <c r="E79" s="46"/>
      <c r="F79" s="47"/>
      <c r="G79" s="106"/>
      <c r="H79" s="106"/>
    </row>
    <row r="80" spans="1:14" ht="31.2" x14ac:dyDescent="0.3">
      <c r="A80" s="48" t="s">
        <v>1</v>
      </c>
      <c r="B80" s="49" t="s">
        <v>124</v>
      </c>
      <c r="C80" s="49" t="s">
        <v>125</v>
      </c>
      <c r="D80" s="49" t="s">
        <v>52</v>
      </c>
      <c r="E80" s="59"/>
      <c r="F80" s="58">
        <f>E81*F81+E82*F82+E83*F83+E84*F84+E85*F85+E86*F86+E87*F87</f>
        <v>17.3319896</v>
      </c>
      <c r="G80" s="111"/>
      <c r="H80" s="111"/>
      <c r="I80" s="4">
        <v>17.809999999999999</v>
      </c>
      <c r="J80">
        <f>I80-E80</f>
        <v>17.809999999999999</v>
      </c>
      <c r="N80" s="14">
        <f>F80-E80</f>
        <v>17.3319896</v>
      </c>
    </row>
    <row r="81" spans="1:11" x14ac:dyDescent="0.3">
      <c r="A81" s="42" t="s">
        <v>126</v>
      </c>
      <c r="B81" s="43" t="s">
        <v>127</v>
      </c>
      <c r="C81" s="43" t="s">
        <v>128</v>
      </c>
      <c r="D81" s="43" t="s">
        <v>129</v>
      </c>
      <c r="E81" s="43">
        <v>0.13</v>
      </c>
      <c r="F81" s="44">
        <v>17.82</v>
      </c>
      <c r="G81" s="106"/>
      <c r="H81" s="106"/>
    </row>
    <row r="82" spans="1:11" ht="62.4" x14ac:dyDescent="0.3">
      <c r="A82" s="42" t="s">
        <v>130</v>
      </c>
      <c r="B82" s="43" t="s">
        <v>131</v>
      </c>
      <c r="C82" s="43" t="s">
        <v>132</v>
      </c>
      <c r="D82" s="43" t="s">
        <v>133</v>
      </c>
      <c r="E82" s="43">
        <v>3.333E-3</v>
      </c>
      <c r="F82" s="44">
        <v>159.38</v>
      </c>
      <c r="G82" s="106"/>
      <c r="H82" s="106"/>
    </row>
    <row r="83" spans="1:11" ht="31.2" x14ac:dyDescent="0.3">
      <c r="A83" s="42" t="s">
        <v>126</v>
      </c>
      <c r="B83" s="43" t="s">
        <v>134</v>
      </c>
      <c r="C83" s="43" t="s">
        <v>135</v>
      </c>
      <c r="D83" s="43" t="s">
        <v>129</v>
      </c>
      <c r="E83" s="43">
        <v>0.6</v>
      </c>
      <c r="F83" s="44">
        <v>14.57</v>
      </c>
      <c r="G83" s="106"/>
      <c r="H83" s="106"/>
    </row>
    <row r="84" spans="1:11" x14ac:dyDescent="0.3">
      <c r="A84" s="42" t="s">
        <v>126</v>
      </c>
      <c r="B84" s="43" t="s">
        <v>136</v>
      </c>
      <c r="C84" s="43" t="s">
        <v>137</v>
      </c>
      <c r="D84" s="43" t="s">
        <v>129</v>
      </c>
      <c r="E84" s="43">
        <v>0.03</v>
      </c>
      <c r="F84" s="44">
        <v>13.44</v>
      </c>
      <c r="G84" s="106"/>
      <c r="H84" s="106"/>
    </row>
    <row r="85" spans="1:11" ht="31.2" x14ac:dyDescent="0.3">
      <c r="A85" s="42" t="s">
        <v>126</v>
      </c>
      <c r="B85" s="43" t="s">
        <v>138</v>
      </c>
      <c r="C85" s="43" t="s">
        <v>139</v>
      </c>
      <c r="D85" s="43" t="s">
        <v>140</v>
      </c>
      <c r="E85" s="43">
        <v>0.4</v>
      </c>
      <c r="F85" s="44">
        <f>4.378/E85</f>
        <v>10.945</v>
      </c>
      <c r="G85" s="106"/>
      <c r="H85" s="106"/>
      <c r="I85">
        <f>F85*E85</f>
        <v>4.3780000000000001</v>
      </c>
      <c r="K85">
        <f>4.888-0.51</f>
        <v>4.3780000000000001</v>
      </c>
    </row>
    <row r="86" spans="1:11" x14ac:dyDescent="0.3">
      <c r="A86" s="42" t="s">
        <v>130</v>
      </c>
      <c r="B86" s="43" t="s">
        <v>141</v>
      </c>
      <c r="C86" s="43" t="s">
        <v>45</v>
      </c>
      <c r="D86" s="43" t="s">
        <v>29</v>
      </c>
      <c r="E86" s="43">
        <v>3.3329999999999999E-2</v>
      </c>
      <c r="F86" s="50">
        <f>0.501622/E86</f>
        <v>15.050165016501651</v>
      </c>
      <c r="G86" s="108"/>
      <c r="H86" s="108"/>
      <c r="I86">
        <f>F86*E86</f>
        <v>0.50162200000000001</v>
      </c>
      <c r="J86">
        <v>0.50162200000000001</v>
      </c>
      <c r="K86">
        <f>J86-0.51</f>
        <v>-8.3779999999999966E-3</v>
      </c>
    </row>
    <row r="87" spans="1:11" ht="31.8" thickBot="1" x14ac:dyDescent="0.35">
      <c r="A87" s="42" t="s">
        <v>130</v>
      </c>
      <c r="B87" s="43" t="s">
        <v>142</v>
      </c>
      <c r="C87" s="43" t="s">
        <v>143</v>
      </c>
      <c r="D87" s="43" t="s">
        <v>133</v>
      </c>
      <c r="E87" s="43">
        <v>3.333E-3</v>
      </c>
      <c r="F87" s="44">
        <v>137.82</v>
      </c>
      <c r="G87" s="106"/>
      <c r="H87" s="106"/>
      <c r="I87">
        <f>F87*E87</f>
        <v>0.45935406000000001</v>
      </c>
    </row>
    <row r="88" spans="1:11" ht="16.2" thickBot="1" x14ac:dyDescent="0.35">
      <c r="A88" s="45"/>
      <c r="B88" s="46"/>
      <c r="C88" s="46"/>
      <c r="D88" s="46"/>
      <c r="E88" s="46"/>
      <c r="F88" s="47"/>
      <c r="G88" s="106"/>
      <c r="H88" s="106"/>
    </row>
    <row r="89" spans="1:11" ht="46.8" x14ac:dyDescent="0.3">
      <c r="A89" s="48" t="s">
        <v>1</v>
      </c>
      <c r="B89" s="49" t="s">
        <v>144</v>
      </c>
      <c r="C89" s="49" t="s">
        <v>145</v>
      </c>
      <c r="D89" s="49" t="s">
        <v>17</v>
      </c>
      <c r="E89" s="49"/>
      <c r="F89" s="41">
        <v>157.06</v>
      </c>
      <c r="G89" s="105"/>
      <c r="H89" s="105"/>
    </row>
    <row r="90" spans="1:11" ht="47.4" thickBot="1" x14ac:dyDescent="0.35">
      <c r="A90" s="42" t="s">
        <v>40</v>
      </c>
      <c r="B90" s="43" t="s">
        <v>146</v>
      </c>
      <c r="C90" s="43" t="s">
        <v>145</v>
      </c>
      <c r="D90" s="43" t="s">
        <v>17</v>
      </c>
      <c r="E90" s="43">
        <v>1</v>
      </c>
      <c r="F90" s="44">
        <v>157.06</v>
      </c>
      <c r="G90" s="106"/>
      <c r="H90" s="106"/>
    </row>
    <row r="91" spans="1:11" ht="16.2" thickBot="1" x14ac:dyDescent="0.35">
      <c r="A91" s="45"/>
      <c r="B91" s="46"/>
      <c r="C91" s="46"/>
      <c r="D91" s="46"/>
      <c r="E91" s="46"/>
      <c r="F91" s="47"/>
      <c r="G91" s="106"/>
      <c r="H91" s="106"/>
    </row>
    <row r="92" spans="1:11" ht="46.8" x14ac:dyDescent="0.3">
      <c r="A92" s="48" t="s">
        <v>1</v>
      </c>
      <c r="B92" s="49" t="s">
        <v>147</v>
      </c>
      <c r="C92" s="49" t="s">
        <v>148</v>
      </c>
      <c r="D92" s="49" t="s">
        <v>17</v>
      </c>
      <c r="E92" s="49"/>
      <c r="F92" s="41">
        <v>232.82</v>
      </c>
      <c r="G92" s="105"/>
      <c r="H92" s="105"/>
    </row>
    <row r="93" spans="1:11" ht="47.4" thickBot="1" x14ac:dyDescent="0.35">
      <c r="A93" s="42" t="s">
        <v>40</v>
      </c>
      <c r="B93" s="43" t="s">
        <v>149</v>
      </c>
      <c r="C93" s="43" t="s">
        <v>148</v>
      </c>
      <c r="D93" s="43" t="s">
        <v>17</v>
      </c>
      <c r="E93" s="43">
        <v>1</v>
      </c>
      <c r="F93" s="44">
        <v>232.82</v>
      </c>
      <c r="G93" s="106"/>
      <c r="H93" s="106"/>
    </row>
    <row r="94" spans="1:11" ht="16.2" thickBot="1" x14ac:dyDescent="0.35">
      <c r="A94" s="45"/>
      <c r="B94" s="46"/>
      <c r="C94" s="46"/>
      <c r="D94" s="46"/>
      <c r="E94" s="46"/>
      <c r="F94" s="47"/>
      <c r="G94" s="106"/>
      <c r="H94" s="106"/>
    </row>
    <row r="95" spans="1:11" x14ac:dyDescent="0.3">
      <c r="A95" s="48" t="s">
        <v>1</v>
      </c>
      <c r="B95" s="49" t="s">
        <v>150</v>
      </c>
      <c r="C95" s="49" t="s">
        <v>151</v>
      </c>
      <c r="D95" s="49" t="s">
        <v>17</v>
      </c>
      <c r="E95" s="59"/>
      <c r="F95" s="41">
        <f>E96*F96+E97*F97</f>
        <v>5990.0499999999993</v>
      </c>
      <c r="G95" s="105"/>
      <c r="H95" s="105"/>
      <c r="I95">
        <f>E95-F95</f>
        <v>-5990.0499999999993</v>
      </c>
    </row>
    <row r="96" spans="1:11" ht="31.2" x14ac:dyDescent="0.3">
      <c r="A96" s="42" t="s">
        <v>130</v>
      </c>
      <c r="B96" s="43">
        <v>90777</v>
      </c>
      <c r="C96" s="43" t="s">
        <v>152</v>
      </c>
      <c r="D96" s="43" t="s">
        <v>29</v>
      </c>
      <c r="E96" s="43">
        <v>10</v>
      </c>
      <c r="F96" s="44">
        <f>845.77/E96</f>
        <v>84.576999999999998</v>
      </c>
      <c r="G96" s="106"/>
      <c r="H96" s="106"/>
      <c r="I96">
        <f>E96*F96</f>
        <v>845.77</v>
      </c>
      <c r="J96">
        <f>I96+I97</f>
        <v>5990.0499999999993</v>
      </c>
      <c r="K96">
        <f>I96+15.87</f>
        <v>861.64</v>
      </c>
    </row>
    <row r="97" spans="1:11" ht="16.2" thickBot="1" x14ac:dyDescent="0.35">
      <c r="A97" s="42" t="s">
        <v>130</v>
      </c>
      <c r="B97" s="43" t="s">
        <v>153</v>
      </c>
      <c r="C97" s="43" t="s">
        <v>154</v>
      </c>
      <c r="D97" s="43" t="s">
        <v>14</v>
      </c>
      <c r="E97" s="43">
        <v>0.8</v>
      </c>
      <c r="F97" s="44">
        <f>5144.28/E97</f>
        <v>6430.3499999999995</v>
      </c>
      <c r="G97" s="106"/>
      <c r="H97" s="106"/>
      <c r="I97">
        <f>E97*F97</f>
        <v>5144.28</v>
      </c>
      <c r="K97">
        <f>I97+600</f>
        <v>5744.28</v>
      </c>
    </row>
    <row r="98" spans="1:11" ht="16.2" thickBot="1" x14ac:dyDescent="0.35">
      <c r="A98" s="45"/>
      <c r="B98" s="46"/>
      <c r="C98" s="46"/>
      <c r="D98" s="46"/>
      <c r="E98" s="46"/>
      <c r="F98" s="47"/>
      <c r="G98" s="106"/>
      <c r="H98" s="106"/>
    </row>
    <row r="99" spans="1:11" ht="31.2" x14ac:dyDescent="0.3">
      <c r="A99" s="48" t="s">
        <v>1</v>
      </c>
      <c r="B99" s="49" t="s">
        <v>155</v>
      </c>
      <c r="C99" s="49" t="s">
        <v>156</v>
      </c>
      <c r="D99" s="49" t="s">
        <v>52</v>
      </c>
      <c r="E99" s="59"/>
      <c r="F99" s="58">
        <f>E100*F100+E101*F101+E102*F102</f>
        <v>12.140000899999999</v>
      </c>
      <c r="G99" s="109"/>
      <c r="H99" s="109"/>
      <c r="I99">
        <f>E99-F99</f>
        <v>-12.140000899999999</v>
      </c>
    </row>
    <row r="100" spans="1:11" ht="31.2" x14ac:dyDescent="0.3">
      <c r="A100" s="42" t="s">
        <v>11</v>
      </c>
      <c r="B100" s="43" t="s">
        <v>53</v>
      </c>
      <c r="C100" s="43" t="s">
        <v>54</v>
      </c>
      <c r="D100" s="43" t="s">
        <v>29</v>
      </c>
      <c r="E100" s="43">
        <v>6.6669999999999993E-2</v>
      </c>
      <c r="F100" s="44">
        <v>103.97</v>
      </c>
      <c r="G100" s="106"/>
      <c r="H100" s="106"/>
    </row>
    <row r="101" spans="1:11" ht="31.2" x14ac:dyDescent="0.3">
      <c r="A101" s="42" t="s">
        <v>11</v>
      </c>
      <c r="B101" s="43" t="s">
        <v>55</v>
      </c>
      <c r="C101" s="43" t="s">
        <v>56</v>
      </c>
      <c r="D101" s="43" t="s">
        <v>29</v>
      </c>
      <c r="E101" s="43">
        <v>0.2</v>
      </c>
      <c r="F101" s="44">
        <f>3.51503/E101</f>
        <v>17.575149999999997</v>
      </c>
      <c r="G101" s="106"/>
      <c r="H101" s="106"/>
      <c r="I101">
        <f>E101*F101</f>
        <v>3.5150299999999994</v>
      </c>
      <c r="J101">
        <f>I101+I99</f>
        <v>-8.6249708999999992</v>
      </c>
    </row>
    <row r="102" spans="1:11" ht="16.2" thickBot="1" x14ac:dyDescent="0.35">
      <c r="A102" s="42" t="s">
        <v>11</v>
      </c>
      <c r="B102" s="43" t="s">
        <v>27</v>
      </c>
      <c r="C102" s="43" t="s">
        <v>28</v>
      </c>
      <c r="D102" s="43" t="s">
        <v>29</v>
      </c>
      <c r="E102" s="43">
        <v>0.13333</v>
      </c>
      <c r="F102" s="44">
        <v>12.7</v>
      </c>
      <c r="G102" s="106"/>
      <c r="H102" s="106"/>
    </row>
    <row r="103" spans="1:11" ht="16.2" thickBot="1" x14ac:dyDescent="0.35">
      <c r="A103" s="45"/>
      <c r="B103" s="46"/>
      <c r="C103" s="46"/>
      <c r="D103" s="46"/>
      <c r="E103" s="46"/>
      <c r="F103" s="47"/>
      <c r="G103" s="106"/>
      <c r="H103" s="106"/>
    </row>
    <row r="104" spans="1:11" ht="31.2" x14ac:dyDescent="0.3">
      <c r="A104" s="48" t="s">
        <v>1</v>
      </c>
      <c r="B104" s="49" t="s">
        <v>157</v>
      </c>
      <c r="C104" s="49" t="s">
        <v>158</v>
      </c>
      <c r="D104" s="49" t="s">
        <v>17</v>
      </c>
      <c r="E104" s="59">
        <v>110.7</v>
      </c>
      <c r="F104" s="58">
        <f>E105*F105+E106*F106</f>
        <v>110.69499999999999</v>
      </c>
      <c r="G104" s="109"/>
      <c r="H104" s="109"/>
      <c r="I104">
        <f>F104-E104</f>
        <v>-5.0000000000096634E-3</v>
      </c>
    </row>
    <row r="105" spans="1:11" x14ac:dyDescent="0.3">
      <c r="A105" s="42" t="s">
        <v>11</v>
      </c>
      <c r="B105" s="43" t="s">
        <v>27</v>
      </c>
      <c r="C105" s="43" t="s">
        <v>28</v>
      </c>
      <c r="D105" s="43" t="s">
        <v>29</v>
      </c>
      <c r="E105" s="43">
        <v>0.25</v>
      </c>
      <c r="F105" s="44">
        <v>12.7</v>
      </c>
      <c r="G105" s="106"/>
      <c r="H105" s="106"/>
    </row>
    <row r="106" spans="1:11" ht="31.8" thickBot="1" x14ac:dyDescent="0.35">
      <c r="A106" s="55" t="s">
        <v>11</v>
      </c>
      <c r="B106" s="56" t="s">
        <v>159</v>
      </c>
      <c r="C106" s="56" t="s">
        <v>160</v>
      </c>
      <c r="D106" s="56" t="s">
        <v>20</v>
      </c>
      <c r="E106" s="56">
        <v>1</v>
      </c>
      <c r="F106" s="57">
        <f>107.52</f>
        <v>107.52</v>
      </c>
      <c r="G106" s="106"/>
      <c r="H106" s="106"/>
      <c r="I106">
        <f>E106*F106</f>
        <v>107.52</v>
      </c>
      <c r="J106">
        <f>I106-I104</f>
        <v>107.52500000000001</v>
      </c>
    </row>
    <row r="107" spans="1:11" ht="16.2" thickBot="1" x14ac:dyDescent="0.35">
      <c r="A107" s="45"/>
      <c r="B107" s="46"/>
      <c r="C107" s="46"/>
      <c r="D107" s="46"/>
      <c r="E107" s="46"/>
      <c r="F107" s="47"/>
      <c r="G107" s="106"/>
      <c r="H107" s="106"/>
    </row>
    <row r="108" spans="1:11" s="5" customFormat="1" ht="31.8" thickBot="1" x14ac:dyDescent="0.35">
      <c r="A108" s="61" t="s">
        <v>126</v>
      </c>
      <c r="B108" s="62" t="s">
        <v>161</v>
      </c>
      <c r="C108" s="62" t="s">
        <v>162</v>
      </c>
      <c r="D108" s="62" t="s">
        <v>163</v>
      </c>
      <c r="E108" s="62">
        <v>1</v>
      </c>
      <c r="F108" s="63">
        <v>628.6</v>
      </c>
      <c r="G108" s="105"/>
      <c r="H108" s="105"/>
    </row>
    <row r="109" spans="1:11" ht="16.2" thickBot="1" x14ac:dyDescent="0.35">
      <c r="G109" s="107"/>
      <c r="H109" s="107"/>
    </row>
    <row r="110" spans="1:11" ht="14.4" customHeight="1" x14ac:dyDescent="0.3">
      <c r="A110" s="78" t="s">
        <v>170</v>
      </c>
      <c r="B110" s="79"/>
      <c r="C110" s="79"/>
      <c r="D110" s="79"/>
      <c r="E110" s="79"/>
      <c r="F110" s="79"/>
      <c r="G110" s="79"/>
      <c r="H110" s="80"/>
    </row>
    <row r="111" spans="1:11" x14ac:dyDescent="0.3">
      <c r="A111" s="81" t="s">
        <v>171</v>
      </c>
      <c r="B111" s="88"/>
      <c r="C111" s="89" t="s">
        <v>172</v>
      </c>
      <c r="D111" s="90"/>
      <c r="E111" s="90"/>
      <c r="F111" s="90"/>
      <c r="G111" s="90"/>
      <c r="H111" s="85"/>
    </row>
    <row r="112" spans="1:11" ht="15.6" customHeight="1" x14ac:dyDescent="0.3">
      <c r="A112" s="81" t="s">
        <v>173</v>
      </c>
      <c r="B112" s="88"/>
      <c r="C112" s="89" t="s">
        <v>174</v>
      </c>
      <c r="D112" s="90"/>
      <c r="E112" s="90"/>
      <c r="F112" s="90"/>
      <c r="G112" s="90"/>
      <c r="H112" s="85"/>
    </row>
    <row r="113" spans="1:14" x14ac:dyDescent="0.3">
      <c r="A113" s="101"/>
      <c r="B113" s="102" t="s">
        <v>175</v>
      </c>
      <c r="C113" s="102" t="s">
        <v>173</v>
      </c>
      <c r="D113" s="102" t="s">
        <v>176</v>
      </c>
      <c r="E113" s="102" t="s">
        <v>177</v>
      </c>
      <c r="F113" s="102" t="s">
        <v>178</v>
      </c>
      <c r="G113" s="103" t="s">
        <v>179</v>
      </c>
      <c r="H113" s="104" t="s">
        <v>180</v>
      </c>
    </row>
    <row r="114" spans="1:14" ht="109.2" x14ac:dyDescent="0.3">
      <c r="A114" s="68" t="s">
        <v>181</v>
      </c>
      <c r="B114" s="69" t="s">
        <v>182</v>
      </c>
      <c r="C114" s="69" t="s">
        <v>183</v>
      </c>
      <c r="D114" s="69" t="s">
        <v>184</v>
      </c>
      <c r="E114" s="70" t="s">
        <v>133</v>
      </c>
      <c r="F114" s="71" t="s">
        <v>185</v>
      </c>
      <c r="G114" s="20" t="s">
        <v>186</v>
      </c>
      <c r="H114" s="21">
        <f>F114*G114</f>
        <v>1.460634</v>
      </c>
    </row>
    <row r="115" spans="1:14" ht="109.2" x14ac:dyDescent="0.3">
      <c r="A115" s="68" t="s">
        <v>181</v>
      </c>
      <c r="B115" s="69" t="s">
        <v>187</v>
      </c>
      <c r="C115" s="69" t="s">
        <v>188</v>
      </c>
      <c r="D115" s="69" t="s">
        <v>184</v>
      </c>
      <c r="E115" s="70" t="s">
        <v>189</v>
      </c>
      <c r="F115" s="71" t="s">
        <v>190</v>
      </c>
      <c r="G115" s="20" t="s">
        <v>191</v>
      </c>
      <c r="H115" s="21">
        <f>F115*G115</f>
        <v>1.0486950000000002</v>
      </c>
    </row>
    <row r="116" spans="1:14" ht="109.2" x14ac:dyDescent="0.3">
      <c r="A116" s="68" t="s">
        <v>181</v>
      </c>
      <c r="B116" s="69" t="s">
        <v>192</v>
      </c>
      <c r="C116" s="69" t="s">
        <v>193</v>
      </c>
      <c r="D116" s="69" t="s">
        <v>184</v>
      </c>
      <c r="E116" s="70" t="s">
        <v>133</v>
      </c>
      <c r="F116" s="71" t="s">
        <v>194</v>
      </c>
      <c r="G116" s="20">
        <v>2.5059999999999999E-2</v>
      </c>
      <c r="H116" s="21">
        <f>F116*G116</f>
        <v>3.7128895999999996</v>
      </c>
      <c r="L116">
        <f>H116-L118</f>
        <v>3.4693996</v>
      </c>
      <c r="M116">
        <f>L116/F116</f>
        <v>2.3416573974082075E-2</v>
      </c>
    </row>
    <row r="117" spans="1:14" ht="109.8" thickBot="1" x14ac:dyDescent="0.35">
      <c r="A117" s="72" t="s">
        <v>181</v>
      </c>
      <c r="B117" s="73" t="s">
        <v>195</v>
      </c>
      <c r="C117" s="73" t="s">
        <v>196</v>
      </c>
      <c r="D117" s="73" t="s">
        <v>184</v>
      </c>
      <c r="E117" s="74" t="s">
        <v>189</v>
      </c>
      <c r="F117" s="75" t="s">
        <v>197</v>
      </c>
      <c r="G117" s="22" t="s">
        <v>198</v>
      </c>
      <c r="H117" s="21">
        <f>F117*G117</f>
        <v>0.85828399999999994</v>
      </c>
    </row>
    <row r="118" spans="1:14" ht="15" thickBot="1" x14ac:dyDescent="0.35">
      <c r="A118" s="100" t="s">
        <v>0</v>
      </c>
      <c r="B118" s="94"/>
      <c r="C118" s="94"/>
      <c r="D118" s="94"/>
      <c r="E118" s="94"/>
      <c r="F118" s="94"/>
      <c r="G118" s="94"/>
      <c r="H118" s="23">
        <f>SUM(H114:H117)</f>
        <v>7.0805026</v>
      </c>
      <c r="L118">
        <f>7.32349-7.08</f>
        <v>0.24348999999999954</v>
      </c>
    </row>
    <row r="119" spans="1:14" ht="16.2" thickBot="1" x14ac:dyDescent="0.35">
      <c r="G119"/>
      <c r="H119"/>
    </row>
    <row r="120" spans="1:14" ht="14.4" customHeight="1" x14ac:dyDescent="0.3">
      <c r="A120" s="78" t="s">
        <v>200</v>
      </c>
      <c r="B120" s="79"/>
      <c r="C120" s="79"/>
      <c r="D120" s="79"/>
      <c r="E120" s="79"/>
      <c r="F120" s="79"/>
      <c r="G120" s="79"/>
      <c r="H120" s="80"/>
    </row>
    <row r="121" spans="1:14" x14ac:dyDescent="0.3">
      <c r="A121" s="81" t="s">
        <v>171</v>
      </c>
      <c r="B121" s="82"/>
      <c r="C121" s="83" t="s">
        <v>201</v>
      </c>
      <c r="D121" s="84"/>
      <c r="E121" s="84"/>
      <c r="F121" s="84"/>
      <c r="G121" s="84"/>
      <c r="H121" s="85"/>
    </row>
    <row r="122" spans="1:14" ht="15.6" customHeight="1" x14ac:dyDescent="0.3">
      <c r="A122" s="81" t="s">
        <v>173</v>
      </c>
      <c r="B122" s="82"/>
      <c r="C122" s="83" t="s">
        <v>202</v>
      </c>
      <c r="D122" s="84"/>
      <c r="E122" s="84"/>
      <c r="F122" s="84"/>
      <c r="G122" s="84"/>
      <c r="H122" s="85"/>
    </row>
    <row r="123" spans="1:14" x14ac:dyDescent="0.3">
      <c r="A123" s="64"/>
      <c r="B123" s="65" t="s">
        <v>175</v>
      </c>
      <c r="C123" s="65" t="s">
        <v>173</v>
      </c>
      <c r="D123" s="65" t="s">
        <v>176</v>
      </c>
      <c r="E123" s="66" t="s">
        <v>177</v>
      </c>
      <c r="F123" s="67" t="s">
        <v>178</v>
      </c>
      <c r="G123" s="18" t="s">
        <v>179</v>
      </c>
      <c r="H123" s="19" t="s">
        <v>203</v>
      </c>
    </row>
    <row r="124" spans="1:14" ht="109.2" x14ac:dyDescent="0.3">
      <c r="A124" s="68" t="s">
        <v>181</v>
      </c>
      <c r="B124" s="69" t="s">
        <v>192</v>
      </c>
      <c r="C124" s="69" t="s">
        <v>193</v>
      </c>
      <c r="D124" s="69" t="s">
        <v>184</v>
      </c>
      <c r="E124" s="70" t="s">
        <v>133</v>
      </c>
      <c r="F124" s="71" t="s">
        <v>194</v>
      </c>
      <c r="G124" s="20" t="s">
        <v>204</v>
      </c>
      <c r="H124" s="21">
        <f>F124*G124</f>
        <v>2.0594239999999999</v>
      </c>
    </row>
    <row r="125" spans="1:14" ht="109.2" x14ac:dyDescent="0.3">
      <c r="A125" s="68" t="s">
        <v>181</v>
      </c>
      <c r="B125" s="69" t="s">
        <v>195</v>
      </c>
      <c r="C125" s="69" t="s">
        <v>196</v>
      </c>
      <c r="D125" s="69" t="s">
        <v>184</v>
      </c>
      <c r="E125" s="70" t="s">
        <v>189</v>
      </c>
      <c r="F125" s="71">
        <v>28.9467</v>
      </c>
      <c r="G125" s="20" t="s">
        <v>205</v>
      </c>
      <c r="H125" s="21">
        <f>F125*G125</f>
        <v>0.17368020000000001</v>
      </c>
      <c r="L125">
        <f>0.25368-N126</f>
        <v>0.17367999999999995</v>
      </c>
      <c r="M125">
        <f>L125/0.006</f>
        <v>28.946666666666658</v>
      </c>
    </row>
    <row r="126" spans="1:14" ht="16.2" thickBot="1" x14ac:dyDescent="0.35">
      <c r="A126" s="98" t="s">
        <v>203</v>
      </c>
      <c r="B126" s="99"/>
      <c r="C126" s="99"/>
      <c r="D126" s="99"/>
      <c r="E126" s="99"/>
      <c r="F126" s="99"/>
      <c r="G126" s="25"/>
      <c r="H126" s="26">
        <f>SUM(H124:H125)</f>
        <v>2.2331042000000001</v>
      </c>
      <c r="N126">
        <f>2.31-2.23</f>
        <v>8.0000000000000071E-2</v>
      </c>
    </row>
    <row r="127" spans="1:14" ht="16.2" thickBot="1" x14ac:dyDescent="0.35">
      <c r="G127"/>
      <c r="H127"/>
    </row>
    <row r="128" spans="1:14" ht="14.4" customHeight="1" x14ac:dyDescent="0.3">
      <c r="A128" s="78" t="s">
        <v>206</v>
      </c>
      <c r="B128" s="79"/>
      <c r="C128" s="79"/>
      <c r="D128" s="79"/>
      <c r="E128" s="79"/>
      <c r="F128" s="79"/>
      <c r="G128" s="79"/>
      <c r="H128" s="80"/>
    </row>
    <row r="129" spans="1:17" x14ac:dyDescent="0.3">
      <c r="A129" s="81" t="s">
        <v>171</v>
      </c>
      <c r="B129" s="82"/>
      <c r="C129" s="83" t="s">
        <v>207</v>
      </c>
      <c r="D129" s="84"/>
      <c r="E129" s="84"/>
      <c r="F129" s="84"/>
      <c r="G129" s="84"/>
      <c r="H129" s="85"/>
    </row>
    <row r="130" spans="1:17" ht="15.6" customHeight="1" x14ac:dyDescent="0.3">
      <c r="A130" s="81" t="s">
        <v>173</v>
      </c>
      <c r="B130" s="82"/>
      <c r="C130" s="83" t="s">
        <v>208</v>
      </c>
      <c r="D130" s="84"/>
      <c r="E130" s="84"/>
      <c r="F130" s="84"/>
      <c r="G130" s="84"/>
      <c r="H130" s="85"/>
      <c r="N130" s="16">
        <v>97914</v>
      </c>
      <c r="O130" s="16">
        <v>2.23</v>
      </c>
    </row>
    <row r="131" spans="1:17" x14ac:dyDescent="0.3">
      <c r="A131" s="64"/>
      <c r="B131" s="65" t="s">
        <v>175</v>
      </c>
      <c r="C131" s="65" t="s">
        <v>173</v>
      </c>
      <c r="D131" s="65" t="s">
        <v>176</v>
      </c>
      <c r="E131" s="66" t="s">
        <v>177</v>
      </c>
      <c r="F131" s="67" t="s">
        <v>178</v>
      </c>
      <c r="G131" s="18" t="s">
        <v>179</v>
      </c>
      <c r="H131" s="19" t="s">
        <v>203</v>
      </c>
      <c r="N131" s="15" t="s">
        <v>165</v>
      </c>
      <c r="O131" s="15">
        <v>1405.68</v>
      </c>
    </row>
    <row r="132" spans="1:17" ht="109.2" x14ac:dyDescent="0.3">
      <c r="A132" s="68" t="s">
        <v>181</v>
      </c>
      <c r="B132" s="69" t="s">
        <v>209</v>
      </c>
      <c r="C132" s="69" t="s">
        <v>210</v>
      </c>
      <c r="D132" s="69" t="s">
        <v>184</v>
      </c>
      <c r="E132" s="70" t="s">
        <v>133</v>
      </c>
      <c r="F132" s="76">
        <v>399.39812757385289</v>
      </c>
      <c r="G132" s="20" t="s">
        <v>212</v>
      </c>
      <c r="H132" s="21">
        <f t="shared" ref="H132:H141" si="3">F132*G132</f>
        <v>13.22007802269453</v>
      </c>
      <c r="N132" s="15"/>
      <c r="O132" s="15"/>
    </row>
    <row r="133" spans="1:17" ht="109.2" x14ac:dyDescent="0.3">
      <c r="A133" s="68" t="s">
        <v>181</v>
      </c>
      <c r="B133" s="69" t="s">
        <v>213</v>
      </c>
      <c r="C133" s="69" t="s">
        <v>214</v>
      </c>
      <c r="D133" s="69" t="s">
        <v>184</v>
      </c>
      <c r="E133" s="70" t="s">
        <v>189</v>
      </c>
      <c r="F133" s="76">
        <v>149.84304110115332</v>
      </c>
      <c r="G133" s="20" t="s">
        <v>216</v>
      </c>
      <c r="H133" s="21">
        <f t="shared" si="3"/>
        <v>10.159358186658196</v>
      </c>
      <c r="K133">
        <v>154.44</v>
      </c>
      <c r="L133">
        <f>K133*N143</f>
        <v>1.9086715743885736E-5</v>
      </c>
      <c r="M133">
        <f>K133-L133</f>
        <v>154.43998091328424</v>
      </c>
      <c r="N133" s="15"/>
      <c r="O133" s="15"/>
    </row>
    <row r="134" spans="1:17" ht="46.8" x14ac:dyDescent="0.3">
      <c r="A134" s="68" t="s">
        <v>181</v>
      </c>
      <c r="B134" s="69" t="s">
        <v>217</v>
      </c>
      <c r="C134" s="69" t="s">
        <v>218</v>
      </c>
      <c r="D134" s="69" t="s">
        <v>219</v>
      </c>
      <c r="E134" s="70" t="s">
        <v>29</v>
      </c>
      <c r="F134" s="76">
        <v>17.027618306949243</v>
      </c>
      <c r="G134" s="20" t="s">
        <v>221</v>
      </c>
      <c r="H134" s="21">
        <f t="shared" si="3"/>
        <v>13.744693497369429</v>
      </c>
      <c r="K134">
        <v>17.55</v>
      </c>
      <c r="L134">
        <f t="shared" ref="L134:L142" si="4">K134*2.97653386353708%</f>
        <v>0.52238169305075755</v>
      </c>
      <c r="M134">
        <f t="shared" ref="M134:M142" si="5">K134-L134</f>
        <v>17.027618306949243</v>
      </c>
      <c r="N134" s="15"/>
      <c r="O134" s="15"/>
      <c r="Q134" s="13"/>
    </row>
    <row r="135" spans="1:17" ht="109.2" x14ac:dyDescent="0.3">
      <c r="A135" s="68" t="s">
        <v>181</v>
      </c>
      <c r="B135" s="69" t="s">
        <v>222</v>
      </c>
      <c r="C135" s="69" t="s">
        <v>223</v>
      </c>
      <c r="D135" s="69" t="s">
        <v>184</v>
      </c>
      <c r="E135" s="70" t="s">
        <v>133</v>
      </c>
      <c r="F135" s="76">
        <v>205.9226045280289</v>
      </c>
      <c r="G135" s="20" t="s">
        <v>212</v>
      </c>
      <c r="H135" s="21">
        <f t="shared" si="3"/>
        <v>6.8160382098777559</v>
      </c>
      <c r="K135">
        <v>212.24</v>
      </c>
      <c r="L135">
        <f t="shared" si="4"/>
        <v>6.317395471971099</v>
      </c>
      <c r="M135">
        <f t="shared" si="5"/>
        <v>205.9226045280289</v>
      </c>
      <c r="N135" s="15"/>
      <c r="O135" s="15"/>
    </row>
    <row r="136" spans="1:17" ht="109.2" x14ac:dyDescent="0.3">
      <c r="A136" s="68" t="s">
        <v>181</v>
      </c>
      <c r="B136" s="69" t="s">
        <v>225</v>
      </c>
      <c r="C136" s="69" t="s">
        <v>226</v>
      </c>
      <c r="D136" s="69" t="s">
        <v>184</v>
      </c>
      <c r="E136" s="70" t="s">
        <v>133</v>
      </c>
      <c r="F136" s="76">
        <v>172.76968614919952</v>
      </c>
      <c r="G136" s="20" t="s">
        <v>228</v>
      </c>
      <c r="H136" s="21">
        <f t="shared" si="3"/>
        <v>9.9342569535789718</v>
      </c>
      <c r="K136">
        <v>178.07</v>
      </c>
      <c r="L136">
        <f t="shared" si="4"/>
        <v>5.3003138508004781</v>
      </c>
      <c r="M136">
        <f t="shared" si="5"/>
        <v>172.76968614919952</v>
      </c>
      <c r="N136" s="15"/>
      <c r="O136" s="15"/>
    </row>
    <row r="137" spans="1:17" ht="109.2" x14ac:dyDescent="0.3">
      <c r="A137" s="68" t="s">
        <v>181</v>
      </c>
      <c r="B137" s="69" t="s">
        <v>229</v>
      </c>
      <c r="C137" s="69" t="s">
        <v>230</v>
      </c>
      <c r="D137" s="69" t="s">
        <v>184</v>
      </c>
      <c r="E137" s="70" t="s">
        <v>189</v>
      </c>
      <c r="F137" s="76">
        <v>55.235459271488338</v>
      </c>
      <c r="G137" s="20" t="s">
        <v>232</v>
      </c>
      <c r="H137" s="21">
        <f t="shared" si="3"/>
        <v>2.3972189323825939</v>
      </c>
      <c r="K137">
        <v>56.93</v>
      </c>
      <c r="L137">
        <f t="shared" si="4"/>
        <v>1.6945407285116596</v>
      </c>
      <c r="M137">
        <f t="shared" si="5"/>
        <v>55.235459271488338</v>
      </c>
      <c r="N137" s="2"/>
      <c r="O137" s="2"/>
    </row>
    <row r="138" spans="1:17" ht="109.2" x14ac:dyDescent="0.3">
      <c r="A138" s="68" t="s">
        <v>181</v>
      </c>
      <c r="B138" s="69" t="s">
        <v>233</v>
      </c>
      <c r="C138" s="69" t="s">
        <v>234</v>
      </c>
      <c r="D138" s="69" t="s">
        <v>184</v>
      </c>
      <c r="E138" s="70" t="s">
        <v>189</v>
      </c>
      <c r="F138" s="76">
        <v>40.167714980495646</v>
      </c>
      <c r="G138" s="20" t="s">
        <v>236</v>
      </c>
      <c r="H138" s="21">
        <f t="shared" si="3"/>
        <v>2.6832033606971089</v>
      </c>
      <c r="K138">
        <v>41.4</v>
      </c>
      <c r="L138">
        <f t="shared" si="4"/>
        <v>1.2322850195043511</v>
      </c>
      <c r="M138">
        <f t="shared" si="5"/>
        <v>40.167714980495646</v>
      </c>
    </row>
    <row r="139" spans="1:17" ht="109.2" x14ac:dyDescent="0.3">
      <c r="A139" s="68" t="s">
        <v>181</v>
      </c>
      <c r="B139" s="69" t="s">
        <v>237</v>
      </c>
      <c r="C139" s="69" t="s">
        <v>238</v>
      </c>
      <c r="D139" s="69" t="s">
        <v>184</v>
      </c>
      <c r="E139" s="70" t="s">
        <v>133</v>
      </c>
      <c r="F139" s="76">
        <v>161.52466642398346</v>
      </c>
      <c r="G139" s="20" t="s">
        <v>240</v>
      </c>
      <c r="H139" s="21">
        <f t="shared" si="3"/>
        <v>5.5079911250578357</v>
      </c>
      <c r="K139">
        <v>166.48</v>
      </c>
      <c r="L139">
        <f t="shared" si="4"/>
        <v>4.9553335760165309</v>
      </c>
      <c r="M139">
        <f t="shared" si="5"/>
        <v>161.52466642398346</v>
      </c>
    </row>
    <row r="140" spans="1:17" ht="109.2" x14ac:dyDescent="0.3">
      <c r="A140" s="68" t="s">
        <v>181</v>
      </c>
      <c r="B140" s="69" t="s">
        <v>241</v>
      </c>
      <c r="C140" s="69" t="s">
        <v>242</v>
      </c>
      <c r="D140" s="69" t="s">
        <v>184</v>
      </c>
      <c r="E140" s="70" t="s">
        <v>133</v>
      </c>
      <c r="F140" s="76">
        <v>158.99235395782179</v>
      </c>
      <c r="G140" s="20" t="s">
        <v>244</v>
      </c>
      <c r="H140" s="21">
        <f t="shared" si="3"/>
        <v>4.753871383338871</v>
      </c>
      <c r="K140">
        <v>163.87</v>
      </c>
      <c r="L140">
        <f t="shared" si="4"/>
        <v>4.8776460421782133</v>
      </c>
      <c r="M140">
        <f t="shared" si="5"/>
        <v>158.99235395782179</v>
      </c>
    </row>
    <row r="141" spans="1:17" ht="109.2" x14ac:dyDescent="0.3">
      <c r="A141" s="68" t="s">
        <v>181</v>
      </c>
      <c r="B141" s="69" t="s">
        <v>245</v>
      </c>
      <c r="C141" s="69" t="s">
        <v>246</v>
      </c>
      <c r="D141" s="69" t="s">
        <v>184</v>
      </c>
      <c r="E141" s="70" t="s">
        <v>189</v>
      </c>
      <c r="F141" s="76">
        <v>59.203719036469678</v>
      </c>
      <c r="G141" s="20" t="s">
        <v>248</v>
      </c>
      <c r="H141" s="21">
        <f t="shared" si="3"/>
        <v>4.2034640515893464</v>
      </c>
      <c r="K141">
        <v>61.02</v>
      </c>
      <c r="L141">
        <f t="shared" si="4"/>
        <v>1.8162809635303263</v>
      </c>
      <c r="M141">
        <f t="shared" si="5"/>
        <v>59.203719036469678</v>
      </c>
    </row>
    <row r="142" spans="1:17" ht="46.8" x14ac:dyDescent="0.3">
      <c r="A142" s="68" t="s">
        <v>249</v>
      </c>
      <c r="B142" s="69" t="s">
        <v>250</v>
      </c>
      <c r="C142" s="69" t="s">
        <v>251</v>
      </c>
      <c r="D142" s="69" t="s">
        <v>252</v>
      </c>
      <c r="E142" s="70" t="s">
        <v>75</v>
      </c>
      <c r="F142" s="76">
        <f>H142/G142</f>
        <v>521.47330515108808</v>
      </c>
      <c r="G142" s="20" t="s">
        <v>253</v>
      </c>
      <c r="H142" s="21">
        <v>1332.26</v>
      </c>
      <c r="K142">
        <v>537.63</v>
      </c>
      <c r="L142">
        <f t="shared" si="4"/>
        <v>16.002739010534402</v>
      </c>
      <c r="M142">
        <f t="shared" si="5"/>
        <v>521.62726098946564</v>
      </c>
    </row>
    <row r="143" spans="1:17" ht="18" thickBot="1" x14ac:dyDescent="0.35">
      <c r="A143" s="96" t="s">
        <v>199</v>
      </c>
      <c r="B143" s="97"/>
      <c r="C143" s="97"/>
      <c r="D143" s="97"/>
      <c r="E143" s="97"/>
      <c r="F143" s="97"/>
      <c r="G143" s="97"/>
      <c r="H143" s="27">
        <f>SUM(H132:H142)</f>
        <v>1405.6801737232447</v>
      </c>
      <c r="L143" s="15">
        <v>1405.68</v>
      </c>
      <c r="M143">
        <f>H143-L143</f>
        <v>1.7372324464304256E-4</v>
      </c>
      <c r="N143" s="30">
        <f>M143/H143</f>
        <v>1.2358660802826818E-7</v>
      </c>
    </row>
    <row r="144" spans="1:17" ht="16.2" thickBot="1" x14ac:dyDescent="0.35">
      <c r="A144" s="77"/>
      <c r="B144" s="77"/>
      <c r="C144" s="77"/>
      <c r="D144" s="77"/>
      <c r="E144" s="77"/>
      <c r="F144" s="77"/>
      <c r="G144" s="24"/>
      <c r="H144" s="24"/>
      <c r="L144">
        <f>H143-L143</f>
        <v>1.7372324464304256E-4</v>
      </c>
      <c r="M144">
        <v>0.39350009913164286</v>
      </c>
      <c r="N144">
        <v>1332.653326375887</v>
      </c>
      <c r="O144">
        <f>N144-M144</f>
        <v>1332.2598262767553</v>
      </c>
    </row>
    <row r="145" spans="1:14" ht="14.4" customHeight="1" x14ac:dyDescent="0.3">
      <c r="A145" s="78" t="s">
        <v>254</v>
      </c>
      <c r="B145" s="79"/>
      <c r="C145" s="79"/>
      <c r="D145" s="79"/>
      <c r="E145" s="79"/>
      <c r="F145" s="79"/>
      <c r="G145" s="79"/>
      <c r="H145" s="80"/>
    </row>
    <row r="146" spans="1:14" x14ac:dyDescent="0.3">
      <c r="A146" s="81" t="s">
        <v>171</v>
      </c>
      <c r="B146" s="82"/>
      <c r="C146" s="83" t="s">
        <v>255</v>
      </c>
      <c r="D146" s="84"/>
      <c r="E146" s="84"/>
      <c r="F146" s="84"/>
      <c r="G146" s="84"/>
      <c r="H146" s="85"/>
    </row>
    <row r="147" spans="1:14" ht="15.6" customHeight="1" x14ac:dyDescent="0.3">
      <c r="A147" s="81" t="s">
        <v>173</v>
      </c>
      <c r="B147" s="82"/>
      <c r="C147" s="83" t="s">
        <v>256</v>
      </c>
      <c r="D147" s="84"/>
      <c r="E147" s="84"/>
      <c r="F147" s="84"/>
      <c r="G147" s="84"/>
      <c r="H147" s="85"/>
    </row>
    <row r="148" spans="1:14" x14ac:dyDescent="0.3">
      <c r="A148" s="64"/>
      <c r="B148" s="65" t="s">
        <v>175</v>
      </c>
      <c r="C148" s="65" t="s">
        <v>173</v>
      </c>
      <c r="D148" s="65" t="s">
        <v>176</v>
      </c>
      <c r="E148" s="66" t="s">
        <v>177</v>
      </c>
      <c r="F148" s="67" t="s">
        <v>178</v>
      </c>
      <c r="G148" s="18" t="s">
        <v>179</v>
      </c>
      <c r="H148" s="19" t="s">
        <v>203</v>
      </c>
    </row>
    <row r="149" spans="1:14" ht="109.2" x14ac:dyDescent="0.3">
      <c r="A149" s="68" t="s">
        <v>181</v>
      </c>
      <c r="B149" s="69" t="s">
        <v>209</v>
      </c>
      <c r="C149" s="69" t="s">
        <v>210</v>
      </c>
      <c r="D149" s="69" t="s">
        <v>184</v>
      </c>
      <c r="E149" s="70" t="s">
        <v>133</v>
      </c>
      <c r="F149" s="71">
        <v>399.28651361808386</v>
      </c>
      <c r="G149" s="20" t="s">
        <v>257</v>
      </c>
      <c r="H149" s="21">
        <f t="shared" ref="H149:H159" si="6">F149*G149</f>
        <v>18.526894231879091</v>
      </c>
      <c r="K149" t="s">
        <v>211</v>
      </c>
      <c r="L149">
        <f>K149*N160</f>
        <v>0</v>
      </c>
      <c r="N149" s="14">
        <f>K149-L149</f>
        <v>411.65</v>
      </c>
    </row>
    <row r="150" spans="1:14" ht="109.2" x14ac:dyDescent="0.3">
      <c r="A150" s="68" t="s">
        <v>181</v>
      </c>
      <c r="B150" s="69" t="s">
        <v>213</v>
      </c>
      <c r="C150" s="69" t="s">
        <v>214</v>
      </c>
      <c r="D150" s="69" t="s">
        <v>184</v>
      </c>
      <c r="E150" s="70" t="s">
        <v>189</v>
      </c>
      <c r="F150" s="71">
        <v>149.80155268596349</v>
      </c>
      <c r="G150" s="20" t="s">
        <v>258</v>
      </c>
      <c r="H150" s="21">
        <f t="shared" si="6"/>
        <v>14.216167349897935</v>
      </c>
      <c r="K150" t="s">
        <v>215</v>
      </c>
      <c r="L150">
        <f>K150*M150</f>
        <v>4.6384473140365028</v>
      </c>
      <c r="M150" s="29">
        <v>3.003397639236275E-2</v>
      </c>
      <c r="N150" s="14">
        <f t="shared" ref="N150:N159" si="7">K150-L150</f>
        <v>149.80155268596349</v>
      </c>
    </row>
    <row r="151" spans="1:14" ht="46.8" x14ac:dyDescent="0.3">
      <c r="A151" s="68" t="s">
        <v>181</v>
      </c>
      <c r="B151" s="69" t="s">
        <v>217</v>
      </c>
      <c r="C151" s="69" t="s">
        <v>218</v>
      </c>
      <c r="D151" s="69" t="s">
        <v>219</v>
      </c>
      <c r="E151" s="70" t="s">
        <v>29</v>
      </c>
      <c r="F151" s="71">
        <v>17.022903714314033</v>
      </c>
      <c r="G151" s="20" t="s">
        <v>259</v>
      </c>
      <c r="H151" s="21">
        <f t="shared" si="6"/>
        <v>19.237583487546292</v>
      </c>
      <c r="K151" t="s">
        <v>220</v>
      </c>
      <c r="L151">
        <f t="shared" ref="L151:L159" si="8">K151*M151</f>
        <v>0.52709628568596634</v>
      </c>
      <c r="M151" s="29">
        <v>3.003397639236275E-2</v>
      </c>
      <c r="N151" s="14">
        <f t="shared" si="7"/>
        <v>17.022903714314033</v>
      </c>
    </row>
    <row r="152" spans="1:14" ht="109.2" x14ac:dyDescent="0.3">
      <c r="A152" s="68" t="s">
        <v>181</v>
      </c>
      <c r="B152" s="69" t="s">
        <v>222</v>
      </c>
      <c r="C152" s="69" t="s">
        <v>223</v>
      </c>
      <c r="D152" s="69" t="s">
        <v>184</v>
      </c>
      <c r="E152" s="70" t="s">
        <v>133</v>
      </c>
      <c r="F152" s="71">
        <v>205.86558885048493</v>
      </c>
      <c r="G152" s="20" t="s">
        <v>257</v>
      </c>
      <c r="H152" s="21">
        <f t="shared" si="6"/>
        <v>9.5521633226624996</v>
      </c>
      <c r="K152" t="s">
        <v>224</v>
      </c>
      <c r="L152">
        <f t="shared" si="8"/>
        <v>6.3744111495150708</v>
      </c>
      <c r="M152" s="29">
        <v>3.003397639236275E-2</v>
      </c>
      <c r="N152" s="14">
        <f t="shared" si="7"/>
        <v>205.86558885048493</v>
      </c>
    </row>
    <row r="153" spans="1:14" ht="109.2" x14ac:dyDescent="0.3">
      <c r="A153" s="68" t="s">
        <v>181</v>
      </c>
      <c r="B153" s="69" t="s">
        <v>225</v>
      </c>
      <c r="C153" s="69" t="s">
        <v>226</v>
      </c>
      <c r="D153" s="69" t="s">
        <v>184</v>
      </c>
      <c r="E153" s="70" t="s">
        <v>133</v>
      </c>
      <c r="F153" s="71">
        <v>172.72184982381197</v>
      </c>
      <c r="G153" s="20" t="s">
        <v>260</v>
      </c>
      <c r="H153" s="21">
        <f t="shared" si="6"/>
        <v>13.904108910816863</v>
      </c>
      <c r="K153" t="s">
        <v>227</v>
      </c>
      <c r="L153">
        <f t="shared" si="8"/>
        <v>5.3481501761880343</v>
      </c>
      <c r="M153" s="29">
        <v>3.003397639236275E-2</v>
      </c>
      <c r="N153" s="14">
        <f t="shared" si="7"/>
        <v>172.72184982381197</v>
      </c>
    </row>
    <row r="154" spans="1:14" ht="109.2" x14ac:dyDescent="0.3">
      <c r="A154" s="68" t="s">
        <v>181</v>
      </c>
      <c r="B154" s="69" t="s">
        <v>229</v>
      </c>
      <c r="C154" s="69" t="s">
        <v>230</v>
      </c>
      <c r="D154" s="69" t="s">
        <v>184</v>
      </c>
      <c r="E154" s="70" t="s">
        <v>189</v>
      </c>
      <c r="F154" s="71">
        <v>55.220165723982788</v>
      </c>
      <c r="G154" s="20" t="s">
        <v>261</v>
      </c>
      <c r="H154" s="21">
        <f t="shared" si="6"/>
        <v>3.3518640594457549</v>
      </c>
      <c r="K154" t="s">
        <v>231</v>
      </c>
      <c r="L154">
        <f t="shared" si="8"/>
        <v>1.7098342760172114</v>
      </c>
      <c r="M154" s="29">
        <v>3.003397639236275E-2</v>
      </c>
      <c r="N154" s="14">
        <f t="shared" si="7"/>
        <v>55.220165723982788</v>
      </c>
    </row>
    <row r="155" spans="1:14" ht="109.2" x14ac:dyDescent="0.3">
      <c r="A155" s="68" t="s">
        <v>181</v>
      </c>
      <c r="B155" s="69" t="s">
        <v>233</v>
      </c>
      <c r="C155" s="69" t="s">
        <v>234</v>
      </c>
      <c r="D155" s="69" t="s">
        <v>184</v>
      </c>
      <c r="E155" s="70" t="s">
        <v>189</v>
      </c>
      <c r="F155" s="71">
        <v>40.156593377356181</v>
      </c>
      <c r="G155" s="20" t="s">
        <v>262</v>
      </c>
      <c r="H155" s="21">
        <f t="shared" si="6"/>
        <v>4.3007711507148469</v>
      </c>
      <c r="K155" t="s">
        <v>235</v>
      </c>
      <c r="L155">
        <f t="shared" si="8"/>
        <v>1.2434066226438178</v>
      </c>
      <c r="M155" s="29">
        <v>3.003397639236275E-2</v>
      </c>
      <c r="N155" s="14">
        <f t="shared" si="7"/>
        <v>40.156593377356181</v>
      </c>
    </row>
    <row r="156" spans="1:14" ht="109.2" x14ac:dyDescent="0.3">
      <c r="A156" s="68" t="s">
        <v>181</v>
      </c>
      <c r="B156" s="69" t="s">
        <v>237</v>
      </c>
      <c r="C156" s="69" t="s">
        <v>238</v>
      </c>
      <c r="D156" s="69" t="s">
        <v>184</v>
      </c>
      <c r="E156" s="70" t="s">
        <v>133</v>
      </c>
      <c r="F156" s="71">
        <v>161.47994361019943</v>
      </c>
      <c r="G156" s="20" t="s">
        <v>240</v>
      </c>
      <c r="H156" s="21">
        <f t="shared" si="6"/>
        <v>5.5064660771077998</v>
      </c>
      <c r="K156" t="s">
        <v>239</v>
      </c>
      <c r="L156">
        <f t="shared" si="8"/>
        <v>5.0000563898005508</v>
      </c>
      <c r="M156" s="29">
        <v>3.003397639236275E-2</v>
      </c>
      <c r="N156" s="14">
        <f t="shared" si="7"/>
        <v>161.47994361019943</v>
      </c>
    </row>
    <row r="157" spans="1:14" ht="109.2" x14ac:dyDescent="0.3">
      <c r="A157" s="68" t="s">
        <v>181</v>
      </c>
      <c r="B157" s="69" t="s">
        <v>241</v>
      </c>
      <c r="C157" s="69" t="s">
        <v>242</v>
      </c>
      <c r="D157" s="69" t="s">
        <v>184</v>
      </c>
      <c r="E157" s="70" t="s">
        <v>133</v>
      </c>
      <c r="F157" s="71">
        <v>158.94833228858352</v>
      </c>
      <c r="G157" s="20" t="s">
        <v>263</v>
      </c>
      <c r="H157" s="21">
        <f t="shared" si="6"/>
        <v>6.6599351228916497</v>
      </c>
      <c r="K157" t="s">
        <v>243</v>
      </c>
      <c r="L157">
        <f t="shared" si="8"/>
        <v>4.9216677114164842</v>
      </c>
      <c r="M157" s="29">
        <v>3.003397639236275E-2</v>
      </c>
      <c r="N157" s="14">
        <f t="shared" si="7"/>
        <v>158.94833228858352</v>
      </c>
    </row>
    <row r="158" spans="1:14" ht="109.2" x14ac:dyDescent="0.3">
      <c r="A158" s="68" t="s">
        <v>181</v>
      </c>
      <c r="B158" s="69" t="s">
        <v>245</v>
      </c>
      <c r="C158" s="69" t="s">
        <v>246</v>
      </c>
      <c r="D158" s="69" t="s">
        <v>184</v>
      </c>
      <c r="E158" s="70" t="s">
        <v>189</v>
      </c>
      <c r="F158" s="71">
        <v>59.187326760538028</v>
      </c>
      <c r="G158" s="20" t="s">
        <v>264</v>
      </c>
      <c r="H158" s="21">
        <f t="shared" si="6"/>
        <v>5.8595453492932652</v>
      </c>
      <c r="K158" t="s">
        <v>247</v>
      </c>
      <c r="L158">
        <f t="shared" si="8"/>
        <v>1.8326732394619751</v>
      </c>
      <c r="M158" s="29">
        <v>3.003397639236275E-2</v>
      </c>
      <c r="N158" s="14">
        <f t="shared" si="7"/>
        <v>59.187326760538028</v>
      </c>
    </row>
    <row r="159" spans="1:14" ht="46.8" x14ac:dyDescent="0.3">
      <c r="A159" s="68" t="s">
        <v>249</v>
      </c>
      <c r="B159" s="69" t="s">
        <v>265</v>
      </c>
      <c r="C159" s="69" t="s">
        <v>266</v>
      </c>
      <c r="D159" s="69" t="s">
        <v>252</v>
      </c>
      <c r="E159" s="70" t="s">
        <v>75</v>
      </c>
      <c r="F159" s="71">
        <v>538.28264480105838</v>
      </c>
      <c r="G159" s="20" t="s">
        <v>253</v>
      </c>
      <c r="H159" s="21">
        <f t="shared" si="6"/>
        <v>1375.2045009377441</v>
      </c>
      <c r="K159" t="s">
        <v>267</v>
      </c>
      <c r="L159">
        <f t="shared" si="8"/>
        <v>16.66735519894171</v>
      </c>
      <c r="M159" s="29">
        <v>3.003397639236275E-2</v>
      </c>
      <c r="N159" s="14">
        <f t="shared" si="7"/>
        <v>538.28264480105838</v>
      </c>
    </row>
    <row r="160" spans="1:14" ht="15" thickBot="1" x14ac:dyDescent="0.35">
      <c r="A160" s="91" t="s">
        <v>199</v>
      </c>
      <c r="B160" s="92"/>
      <c r="C160" s="92"/>
      <c r="D160" s="92"/>
      <c r="E160" s="92"/>
      <c r="F160" s="92"/>
      <c r="G160" s="95"/>
      <c r="H160" s="31">
        <f>SUM(H149:H159)</f>
        <v>1476.3200000000002</v>
      </c>
      <c r="K160" s="16">
        <v>1476.32</v>
      </c>
      <c r="L160">
        <f>H160-K160</f>
        <v>0</v>
      </c>
      <c r="N160" s="29">
        <f>L160/H160</f>
        <v>0</v>
      </c>
    </row>
    <row r="161" spans="1:14" ht="16.2" thickBot="1" x14ac:dyDescent="0.35">
      <c r="G161"/>
      <c r="H161"/>
    </row>
    <row r="162" spans="1:14" ht="14.4" customHeight="1" x14ac:dyDescent="0.3">
      <c r="A162" s="78" t="s">
        <v>268</v>
      </c>
      <c r="B162" s="79"/>
      <c r="C162" s="79"/>
      <c r="D162" s="79"/>
      <c r="E162" s="79"/>
      <c r="F162" s="79"/>
      <c r="G162" s="79"/>
      <c r="H162" s="80"/>
    </row>
    <row r="163" spans="1:14" x14ac:dyDescent="0.3">
      <c r="A163" s="81" t="s">
        <v>171</v>
      </c>
      <c r="B163" s="88"/>
      <c r="C163" s="89" t="s">
        <v>269</v>
      </c>
      <c r="D163" s="90"/>
      <c r="E163" s="90"/>
      <c r="F163" s="90"/>
      <c r="G163" s="90"/>
      <c r="H163" s="85"/>
    </row>
    <row r="164" spans="1:14" ht="15.6" customHeight="1" x14ac:dyDescent="0.3">
      <c r="A164" s="81" t="s">
        <v>173</v>
      </c>
      <c r="B164" s="88"/>
      <c r="C164" s="89" t="s">
        <v>270</v>
      </c>
      <c r="D164" s="90"/>
      <c r="E164" s="90"/>
      <c r="F164" s="90"/>
      <c r="G164" s="90"/>
      <c r="H164" s="85"/>
    </row>
    <row r="165" spans="1:14" x14ac:dyDescent="0.3">
      <c r="A165" s="64"/>
      <c r="B165" s="65" t="s">
        <v>175</v>
      </c>
      <c r="C165" s="65" t="s">
        <v>173</v>
      </c>
      <c r="D165" s="65" t="s">
        <v>176</v>
      </c>
      <c r="E165" s="66" t="s">
        <v>177</v>
      </c>
      <c r="F165" s="67" t="s">
        <v>178</v>
      </c>
      <c r="G165" s="18" t="s">
        <v>179</v>
      </c>
      <c r="H165" s="19" t="s">
        <v>203</v>
      </c>
    </row>
    <row r="166" spans="1:14" ht="109.2" x14ac:dyDescent="0.3">
      <c r="A166" s="68" t="s">
        <v>181</v>
      </c>
      <c r="B166" s="69" t="s">
        <v>271</v>
      </c>
      <c r="C166" s="69" t="s">
        <v>272</v>
      </c>
      <c r="D166" s="69" t="s">
        <v>184</v>
      </c>
      <c r="E166" s="70" t="s">
        <v>133</v>
      </c>
      <c r="F166" s="71">
        <f>H166/G166</f>
        <v>375</v>
      </c>
      <c r="G166" s="20" t="s">
        <v>273</v>
      </c>
      <c r="H166" s="32">
        <v>1.05</v>
      </c>
    </row>
    <row r="167" spans="1:14" ht="109.8" thickBot="1" x14ac:dyDescent="0.35">
      <c r="A167" s="72" t="s">
        <v>181</v>
      </c>
      <c r="B167" s="73" t="s">
        <v>274</v>
      </c>
      <c r="C167" s="73" t="s">
        <v>275</v>
      </c>
      <c r="D167" s="73" t="s">
        <v>184</v>
      </c>
      <c r="E167" s="74" t="s">
        <v>189</v>
      </c>
      <c r="F167" s="75" t="s">
        <v>276</v>
      </c>
      <c r="G167" s="22" t="s">
        <v>277</v>
      </c>
      <c r="H167" s="32">
        <f>F167*G167</f>
        <v>7.9547999999999994E-2</v>
      </c>
    </row>
    <row r="168" spans="1:14" ht="15" thickBot="1" x14ac:dyDescent="0.35">
      <c r="A168" s="93" t="s">
        <v>203</v>
      </c>
      <c r="B168" s="94"/>
      <c r="C168" s="94"/>
      <c r="D168" s="94"/>
      <c r="E168" s="94"/>
      <c r="F168" s="94"/>
      <c r="G168" s="94"/>
      <c r="H168" s="23">
        <f>SUM(H166:H167)</f>
        <v>1.129548</v>
      </c>
      <c r="L168">
        <f>1.18-1.13</f>
        <v>5.0000000000000044E-2</v>
      </c>
    </row>
    <row r="169" spans="1:14" ht="16.2" thickBot="1" x14ac:dyDescent="0.35">
      <c r="G169"/>
      <c r="H169"/>
    </row>
    <row r="170" spans="1:14" ht="14.4" customHeight="1" x14ac:dyDescent="0.3">
      <c r="A170" s="78" t="s">
        <v>278</v>
      </c>
      <c r="B170" s="79"/>
      <c r="C170" s="79"/>
      <c r="D170" s="79"/>
      <c r="E170" s="79"/>
      <c r="F170" s="79"/>
      <c r="G170" s="79"/>
      <c r="H170" s="80"/>
    </row>
    <row r="171" spans="1:14" x14ac:dyDescent="0.3">
      <c r="A171" s="81" t="s">
        <v>171</v>
      </c>
      <c r="B171" s="88"/>
      <c r="C171" s="89" t="s">
        <v>279</v>
      </c>
      <c r="D171" s="90"/>
      <c r="E171" s="90"/>
      <c r="F171" s="90"/>
      <c r="G171" s="90"/>
      <c r="H171" s="85"/>
    </row>
    <row r="172" spans="1:14" ht="15.6" customHeight="1" x14ac:dyDescent="0.3">
      <c r="A172" s="81" t="s">
        <v>173</v>
      </c>
      <c r="B172" s="88"/>
      <c r="C172" s="89" t="s">
        <v>280</v>
      </c>
      <c r="D172" s="90"/>
      <c r="E172" s="90"/>
      <c r="F172" s="90"/>
      <c r="G172" s="90"/>
      <c r="H172" s="85"/>
    </row>
    <row r="173" spans="1:14" x14ac:dyDescent="0.3">
      <c r="A173" s="64"/>
      <c r="B173" s="65" t="s">
        <v>175</v>
      </c>
      <c r="C173" s="65" t="s">
        <v>173</v>
      </c>
      <c r="D173" s="65" t="s">
        <v>176</v>
      </c>
      <c r="E173" s="66" t="s">
        <v>177</v>
      </c>
      <c r="F173" s="67" t="s">
        <v>178</v>
      </c>
      <c r="G173" s="18" t="s">
        <v>179</v>
      </c>
      <c r="H173" s="19" t="s">
        <v>203</v>
      </c>
      <c r="K173" s="34"/>
      <c r="L173" s="34"/>
    </row>
    <row r="174" spans="1:14" ht="46.8" x14ac:dyDescent="0.3">
      <c r="A174" s="68" t="s">
        <v>181</v>
      </c>
      <c r="B174" s="69" t="s">
        <v>281</v>
      </c>
      <c r="C174" s="69" t="s">
        <v>99</v>
      </c>
      <c r="D174" s="69" t="s">
        <v>219</v>
      </c>
      <c r="E174" s="70" t="s">
        <v>29</v>
      </c>
      <c r="F174" s="76">
        <v>22.39878942191546</v>
      </c>
      <c r="G174" s="20" t="s">
        <v>283</v>
      </c>
      <c r="H174" s="32">
        <f>F174*G174</f>
        <v>8.825123032234691</v>
      </c>
      <c r="K174" s="17" t="s">
        <v>282</v>
      </c>
      <c r="L174" s="34">
        <f>K174*M174</f>
        <v>0.70121057808454013</v>
      </c>
      <c r="M174" s="10">
        <v>3.0355436280716023E-2</v>
      </c>
      <c r="N174" s="14">
        <f>K174-L174</f>
        <v>22.39878942191546</v>
      </c>
    </row>
    <row r="175" spans="1:14" ht="46.8" x14ac:dyDescent="0.3">
      <c r="A175" s="68" t="s">
        <v>181</v>
      </c>
      <c r="B175" s="69" t="s">
        <v>284</v>
      </c>
      <c r="C175" s="69" t="s">
        <v>45</v>
      </c>
      <c r="D175" s="69" t="s">
        <v>219</v>
      </c>
      <c r="E175" s="70" t="s">
        <v>29</v>
      </c>
      <c r="F175" s="76">
        <v>16.173671322837656</v>
      </c>
      <c r="G175" s="20" t="s">
        <v>283</v>
      </c>
      <c r="H175" s="32">
        <f>F175*G175</f>
        <v>6.3724265011980368</v>
      </c>
      <c r="K175" s="17" t="s">
        <v>285</v>
      </c>
      <c r="L175" s="34">
        <f t="shared" ref="L175:L178" si="9">K175*M175</f>
        <v>0.5063286771623432</v>
      </c>
      <c r="M175" s="10">
        <v>3.0355436280716023E-2</v>
      </c>
      <c r="N175" s="14">
        <f t="shared" ref="N175:N178" si="10">K175-L175</f>
        <v>16.173671322837656</v>
      </c>
    </row>
    <row r="176" spans="1:14" ht="46.8" x14ac:dyDescent="0.3">
      <c r="A176" s="68" t="s">
        <v>181</v>
      </c>
      <c r="B176" s="69" t="s">
        <v>286</v>
      </c>
      <c r="C176" s="69" t="s">
        <v>287</v>
      </c>
      <c r="D176" s="69" t="s">
        <v>219</v>
      </c>
      <c r="E176" s="70" t="s">
        <v>288</v>
      </c>
      <c r="F176" s="76">
        <v>524.69406631977893</v>
      </c>
      <c r="G176" s="20" t="s">
        <v>290</v>
      </c>
      <c r="H176" s="32">
        <f>F176*G176</f>
        <v>1.0493881326395578</v>
      </c>
      <c r="K176" s="17" t="s">
        <v>289</v>
      </c>
      <c r="L176" s="34">
        <f t="shared" si="9"/>
        <v>16.425933680221053</v>
      </c>
      <c r="M176" s="10">
        <v>3.0355436280716023E-2</v>
      </c>
      <c r="N176" s="14">
        <f t="shared" si="10"/>
        <v>524.69406631977893</v>
      </c>
    </row>
    <row r="177" spans="1:14" ht="31.2" x14ac:dyDescent="0.3">
      <c r="A177" s="68" t="s">
        <v>249</v>
      </c>
      <c r="B177" s="69" t="s">
        <v>291</v>
      </c>
      <c r="C177" s="69" t="s">
        <v>292</v>
      </c>
      <c r="D177" s="69" t="s">
        <v>252</v>
      </c>
      <c r="E177" s="70" t="s">
        <v>288</v>
      </c>
      <c r="F177" s="76">
        <v>76.359509392893614</v>
      </c>
      <c r="G177" s="20" t="s">
        <v>294</v>
      </c>
      <c r="H177" s="32">
        <f>F177*G177</f>
        <v>0.5345165657502553</v>
      </c>
      <c r="K177" s="17" t="s">
        <v>293</v>
      </c>
      <c r="L177" s="34">
        <f t="shared" si="9"/>
        <v>2.3904906071063867</v>
      </c>
      <c r="M177" s="10">
        <v>3.0355436280716023E-2</v>
      </c>
      <c r="N177" s="14">
        <f t="shared" si="10"/>
        <v>76.359509392893614</v>
      </c>
    </row>
    <row r="178" spans="1:14" ht="31.2" x14ac:dyDescent="0.3">
      <c r="A178" s="68" t="s">
        <v>249</v>
      </c>
      <c r="B178" s="69" t="s">
        <v>295</v>
      </c>
      <c r="C178" s="69" t="s">
        <v>296</v>
      </c>
      <c r="D178" s="69" t="s">
        <v>252</v>
      </c>
      <c r="E178" s="70" t="s">
        <v>49</v>
      </c>
      <c r="F178" s="76">
        <v>24.764722157390512</v>
      </c>
      <c r="G178" s="20" t="s">
        <v>298</v>
      </c>
      <c r="H178" s="32">
        <f>F178*G178</f>
        <v>24.888545768177462</v>
      </c>
      <c r="K178" s="17" t="s">
        <v>297</v>
      </c>
      <c r="L178" s="34">
        <f t="shared" si="9"/>
        <v>0.77527784260948718</v>
      </c>
      <c r="M178" s="10">
        <v>3.0355436280716023E-2</v>
      </c>
      <c r="N178" s="14">
        <f t="shared" si="10"/>
        <v>24.764722157390512</v>
      </c>
    </row>
    <row r="179" spans="1:14" ht="15" thickBot="1" x14ac:dyDescent="0.35">
      <c r="A179" s="91" t="s">
        <v>203</v>
      </c>
      <c r="B179" s="92"/>
      <c r="C179" s="92"/>
      <c r="D179" s="92"/>
      <c r="E179" s="92"/>
      <c r="F179" s="92"/>
      <c r="G179" s="92"/>
      <c r="H179" s="33">
        <f>SUM(H174:H178)</f>
        <v>41.67</v>
      </c>
      <c r="L179">
        <v>41.67</v>
      </c>
      <c r="M179" s="14">
        <f>H179-L179</f>
        <v>0</v>
      </c>
      <c r="N179" s="28">
        <f>M179/H179</f>
        <v>0</v>
      </c>
    </row>
    <row r="180" spans="1:14" ht="16.2" thickBot="1" x14ac:dyDescent="0.35">
      <c r="G180"/>
      <c r="H180"/>
    </row>
    <row r="181" spans="1:14" ht="14.4" customHeight="1" x14ac:dyDescent="0.3">
      <c r="A181" s="78" t="s">
        <v>299</v>
      </c>
      <c r="B181" s="79"/>
      <c r="C181" s="79"/>
      <c r="D181" s="79"/>
      <c r="E181" s="79"/>
      <c r="F181" s="79"/>
      <c r="G181" s="79"/>
      <c r="H181" s="80"/>
      <c r="N181" s="10">
        <v>3.0355436280716023E-2</v>
      </c>
    </row>
    <row r="182" spans="1:14" x14ac:dyDescent="0.3">
      <c r="A182" s="81" t="s">
        <v>171</v>
      </c>
      <c r="B182" s="82"/>
      <c r="C182" s="83" t="s">
        <v>300</v>
      </c>
      <c r="D182" s="84"/>
      <c r="E182" s="84"/>
      <c r="F182" s="84"/>
      <c r="G182" s="84"/>
      <c r="H182" s="85"/>
    </row>
    <row r="183" spans="1:14" ht="15.6" customHeight="1" x14ac:dyDescent="0.3">
      <c r="A183" s="81" t="s">
        <v>173</v>
      </c>
      <c r="B183" s="82"/>
      <c r="C183" s="83" t="s">
        <v>301</v>
      </c>
      <c r="D183" s="84"/>
      <c r="E183" s="84"/>
      <c r="F183" s="84"/>
      <c r="G183" s="84"/>
      <c r="H183" s="85"/>
    </row>
    <row r="184" spans="1:14" x14ac:dyDescent="0.3">
      <c r="A184" s="64"/>
      <c r="B184" s="65" t="s">
        <v>175</v>
      </c>
      <c r="C184" s="65" t="s">
        <v>173</v>
      </c>
      <c r="D184" s="65" t="s">
        <v>176</v>
      </c>
      <c r="E184" s="66" t="s">
        <v>177</v>
      </c>
      <c r="F184" s="67" t="s">
        <v>178</v>
      </c>
      <c r="G184" s="18" t="s">
        <v>179</v>
      </c>
      <c r="H184" s="19" t="s">
        <v>203</v>
      </c>
    </row>
    <row r="185" spans="1:14" ht="46.8" x14ac:dyDescent="0.3">
      <c r="A185" s="68" t="s">
        <v>181</v>
      </c>
      <c r="B185" s="69" t="s">
        <v>302</v>
      </c>
      <c r="C185" s="69" t="s">
        <v>303</v>
      </c>
      <c r="D185" s="69" t="s">
        <v>219</v>
      </c>
      <c r="E185" s="70" t="s">
        <v>29</v>
      </c>
      <c r="F185" s="76">
        <v>22.154133255845274</v>
      </c>
      <c r="G185" s="20" t="s">
        <v>305</v>
      </c>
      <c r="H185" s="21">
        <f t="shared" ref="H185:H190" si="11">F185*G185</f>
        <v>49.979724625186932</v>
      </c>
      <c r="K185" t="s">
        <v>304</v>
      </c>
      <c r="L185" s="6">
        <v>3.002919195073226E-2</v>
      </c>
      <c r="M185">
        <f>K185*L185</f>
        <v>0.68586674415472482</v>
      </c>
      <c r="N185" s="14">
        <f>K185-M185</f>
        <v>22.154133255845274</v>
      </c>
    </row>
    <row r="186" spans="1:14" ht="46.8" x14ac:dyDescent="0.3">
      <c r="A186" s="68" t="s">
        <v>181</v>
      </c>
      <c r="B186" s="69" t="s">
        <v>281</v>
      </c>
      <c r="C186" s="69" t="s">
        <v>99</v>
      </c>
      <c r="D186" s="69" t="s">
        <v>219</v>
      </c>
      <c r="E186" s="70" t="s">
        <v>29</v>
      </c>
      <c r="F186" s="76">
        <v>22.406325665938088</v>
      </c>
      <c r="G186" s="20" t="s">
        <v>306</v>
      </c>
      <c r="H186" s="21">
        <f t="shared" si="11"/>
        <v>5.8256446731439029</v>
      </c>
      <c r="K186" t="s">
        <v>282</v>
      </c>
      <c r="L186" s="6">
        <v>3.002919195073226E-2</v>
      </c>
      <c r="M186">
        <f t="shared" ref="M186:M190" si="12">K186*L186</f>
        <v>0.69367433406191525</v>
      </c>
      <c r="N186" s="14">
        <f t="shared" ref="N186:N190" si="13">K186-M186</f>
        <v>22.406325665938088</v>
      </c>
    </row>
    <row r="187" spans="1:14" ht="46.8" x14ac:dyDescent="0.3">
      <c r="A187" s="68" t="s">
        <v>181</v>
      </c>
      <c r="B187" s="69" t="s">
        <v>284</v>
      </c>
      <c r="C187" s="69" t="s">
        <v>45</v>
      </c>
      <c r="D187" s="69" t="s">
        <v>219</v>
      </c>
      <c r="E187" s="70" t="s">
        <v>29</v>
      </c>
      <c r="F187" s="76">
        <v>16.179113078261786</v>
      </c>
      <c r="G187" s="20" t="s">
        <v>307</v>
      </c>
      <c r="H187" s="21">
        <f t="shared" si="11"/>
        <v>40.706648504906653</v>
      </c>
      <c r="K187" t="s">
        <v>285</v>
      </c>
      <c r="L187" s="6">
        <v>3.002919195073226E-2</v>
      </c>
      <c r="M187">
        <f t="shared" si="12"/>
        <v>0.50088692173821414</v>
      </c>
      <c r="N187" s="14">
        <f t="shared" si="13"/>
        <v>16.179113078261786</v>
      </c>
    </row>
    <row r="188" spans="1:14" ht="31.2" x14ac:dyDescent="0.3">
      <c r="A188" s="68" t="s">
        <v>249</v>
      </c>
      <c r="B188" s="69" t="s">
        <v>308</v>
      </c>
      <c r="C188" s="69" t="s">
        <v>309</v>
      </c>
      <c r="D188" s="69" t="s">
        <v>252</v>
      </c>
      <c r="E188" s="70" t="s">
        <v>49</v>
      </c>
      <c r="F188" s="76">
        <v>15.742626214639616</v>
      </c>
      <c r="G188" s="20" t="s">
        <v>311</v>
      </c>
      <c r="H188" s="21">
        <f t="shared" si="11"/>
        <v>39.356565536599042</v>
      </c>
      <c r="K188" t="s">
        <v>310</v>
      </c>
      <c r="L188" s="6">
        <v>3.002919195073226E-2</v>
      </c>
      <c r="M188">
        <f t="shared" si="12"/>
        <v>0.48737378536038461</v>
      </c>
      <c r="N188" s="14">
        <f t="shared" si="13"/>
        <v>15.742626214639616</v>
      </c>
    </row>
    <row r="189" spans="1:14" ht="31.2" x14ac:dyDescent="0.3">
      <c r="A189" s="68" t="s">
        <v>249</v>
      </c>
      <c r="B189" s="69" t="s">
        <v>312</v>
      </c>
      <c r="C189" s="69" t="s">
        <v>313</v>
      </c>
      <c r="D189" s="69" t="s">
        <v>252</v>
      </c>
      <c r="E189" s="70" t="s">
        <v>49</v>
      </c>
      <c r="F189" s="76">
        <v>2.8226150514233694</v>
      </c>
      <c r="G189" s="20" t="s">
        <v>315</v>
      </c>
      <c r="H189" s="21">
        <f t="shared" si="11"/>
        <v>5.6452301028467389</v>
      </c>
      <c r="K189" t="s">
        <v>314</v>
      </c>
      <c r="L189" s="6">
        <v>3.002919195073226E-2</v>
      </c>
      <c r="M189">
        <f t="shared" si="12"/>
        <v>8.7384948576630886E-2</v>
      </c>
      <c r="N189" s="14">
        <f t="shared" si="13"/>
        <v>2.8226150514233694</v>
      </c>
    </row>
    <row r="190" spans="1:14" ht="46.8" x14ac:dyDescent="0.3">
      <c r="A190" s="68" t="s">
        <v>249</v>
      </c>
      <c r="B190" s="69" t="s">
        <v>316</v>
      </c>
      <c r="C190" s="69" t="s">
        <v>317</v>
      </c>
      <c r="D190" s="69" t="s">
        <v>252</v>
      </c>
      <c r="E190" s="70" t="s">
        <v>288</v>
      </c>
      <c r="F190" s="76">
        <v>339.48978281724374</v>
      </c>
      <c r="G190" s="20" t="s">
        <v>319</v>
      </c>
      <c r="H190" s="21">
        <f t="shared" si="11"/>
        <v>411.8011065573167</v>
      </c>
      <c r="K190" t="s">
        <v>318</v>
      </c>
      <c r="L190" s="6">
        <v>3.002919195073226E-2</v>
      </c>
      <c r="M190">
        <f t="shared" si="12"/>
        <v>10.510217182756291</v>
      </c>
      <c r="N190" s="14">
        <f t="shared" si="13"/>
        <v>339.48978281724374</v>
      </c>
    </row>
    <row r="191" spans="1:14" ht="15" thickBot="1" x14ac:dyDescent="0.35">
      <c r="A191" s="86" t="s">
        <v>203</v>
      </c>
      <c r="B191" s="87"/>
      <c r="C191" s="87"/>
      <c r="D191" s="87"/>
      <c r="E191" s="87"/>
      <c r="F191" s="87"/>
      <c r="G191" s="87"/>
      <c r="H191" s="35">
        <f>SUM(H185:H190)</f>
        <v>553.31492000000003</v>
      </c>
      <c r="L191" s="15">
        <v>553.30999999999995</v>
      </c>
      <c r="M191">
        <f>570.44-L191</f>
        <v>17.130000000000109</v>
      </c>
      <c r="N191" s="6">
        <f>M191/H191</f>
        <v>3.0958861546694076E-2</v>
      </c>
    </row>
    <row r="192" spans="1:14" x14ac:dyDescent="0.3">
      <c r="N192" s="6">
        <v>3.002919195073226E-2</v>
      </c>
    </row>
  </sheetData>
  <autoFilter ref="A2:F106" xr:uid="{00000000-0001-0000-0000-000000000000}"/>
  <pageMargins left="0.70866141732283472" right="0.70866141732283472" top="0.74803149606299213" bottom="0.74803149606299213" header="0.31496062992125984" footer="0.31496062992125984"/>
  <pageSetup paperSize="9" scale="40" fitToHeight="5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Plan1</vt:lpstr>
      <vt:lpstr>Plan1!Area_de_impressao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</dc:creator>
  <cp:lastModifiedBy>Usuário do Windows</cp:lastModifiedBy>
  <cp:lastPrinted>2022-03-12T01:58:20Z</cp:lastPrinted>
  <dcterms:created xsi:type="dcterms:W3CDTF">2015-06-05T18:19:34Z</dcterms:created>
  <dcterms:modified xsi:type="dcterms:W3CDTF">2022-03-12T02:52:06Z</dcterms:modified>
</cp:coreProperties>
</file>